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-2" sheetId="11" r:id="rId11"/>
    <sheet name="січень" sheetId="12" r:id="rId12"/>
  </sheets>
  <externalReferences>
    <externalReference r:id="rId15"/>
  </externalReferences>
  <definedNames>
    <definedName name="_xlnm.Print_Area" localSheetId="11">'січень'!$A$1:$R$87</definedName>
    <definedName name="_xlnm.Print_Area" localSheetId="5">'червень'!$B$2:$J$85</definedName>
  </definedNames>
  <calcPr fullCalcOnLoad="1"/>
</workbook>
</file>

<file path=xl/sharedStrings.xml><?xml version="1.0" encoding="utf-8"?>
<sst xmlns="http://schemas.openxmlformats.org/spreadsheetml/2006/main" count="1561" uniqueCount="227">
  <si>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</si>
  <si>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</si>
  <si>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</si>
  <si>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</si>
  <si>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</si>
  <si>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</si>
  <si>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</si>
  <si>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</si>
  <si>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</si>
  <si>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</si>
  <si>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</si>
  <si>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</si>
  <si>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</si>
  <si>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</si>
  <si>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</si>
  <si>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</si>
  <si>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</si>
  <si>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</si>
  <si>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</si>
  <si>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</si>
  <si>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</si>
  <si>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</si>
  <si>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</si>
  <si>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</si>
  <si>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</si>
  <si>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</si>
  <si>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</si>
  <si>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</si>
  <si>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</si>
  <si>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</si>
  <si>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</si>
  <si>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</si>
  <si>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</si>
  <si>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</si>
  <si>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</si>
  <si>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</si>
  <si>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</si>
  <si>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</si>
  <si>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</si>
  <si>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</si>
  <si>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</si>
  <si>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</si>
  <si>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</si>
  <si>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</si>
  <si>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</si>
  <si>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</si>
  <si>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</si>
  <si>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</si>
  <si>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</si>
  <si>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</si>
  <si>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</si>
  <si>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</si>
  <si>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</si>
  <si>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</si>
  <si>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</si>
  <si>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</si>
  <si>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</si>
  <si>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</si>
  <si>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</si>
  <si>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</si>
  <si>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</si>
  <si>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</si>
  <si>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</si>
  <si>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</si>
  <si>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</si>
  <si>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</si>
  <si>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</si>
  <si>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</si>
  <si>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</si>
  <si>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</si>
  <si>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</si>
  <si>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</si>
  <si>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</si>
  <si>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</si>
  <si>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</si>
  <si>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</si>
  <si>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</si>
  <si>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</si>
  <si>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</si>
  <si>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</si>
  <si>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</si>
  <si>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</si>
  <si>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</si>
  <si>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</si>
  <si>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</si>
  <si>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</si>
  <si>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</si>
  <si>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</si>
  <si>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</si>
  <si>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</si>
  <si>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</si>
  <si>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</si>
  <si>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</si>
  <si>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</si>
  <si>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</si>
  <si>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</si>
  <si>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</si>
  <si>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</si>
  <si>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</si>
  <si>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</si>
  <si>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</si>
  <si>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</si>
  <si>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</si>
  <si>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</si>
  <si>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</si>
  <si>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</si>
  <si>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</si>
  <si>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</si>
  <si>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</si>
  <si>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</si>
  <si>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</si>
  <si>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</si>
  <si>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</si>
  <si>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</si>
  <si>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</si>
  <si>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</si>
  <si>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</si>
  <si>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</si>
  <si>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</si>
  <si>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</si>
  <si>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</si>
  <si>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</si>
  <si>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</si>
  <si>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</si>
  <si>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</si>
  <si>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</si>
  <si>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</si>
  <si>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</si>
  <si>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</si>
  <si>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</si>
  <si>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</si>
  <si>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</si>
  <si>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</si>
  <si>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</si>
  <si>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</si>
  <si>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</si>
  <si>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</si>
  <si>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</si>
  <si>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</si>
  <si>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</si>
  <si>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</si>
  <si>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</si>
  <si>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</si>
  <si>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</si>
  <si>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</si>
  <si>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</si>
  <si>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</si>
  <si>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</si>
  <si>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</si>
  <si>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</si>
  <si>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</si>
  <si>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</si>
  <si>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</si>
  <si>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</si>
  <si>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</si>
  <si>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</si>
  <si>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</si>
  <si>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</si>
  <si>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</si>
  <si>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</si>
  <si>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</si>
  <si>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</si>
  <si>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</si>
  <si>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</si>
  <si>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</si>
  <si>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</si>
  <si>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</si>
  <si>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</si>
  <si>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</si>
  <si>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</si>
  <si>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</si>
  <si>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</si>
  <si>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</si>
  <si>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</si>
  <si>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</si>
  <si>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</si>
  <si>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</si>
  <si>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</si>
  <si>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</si>
  <si>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</si>
  <si>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</si>
  <si>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</si>
  <si>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</si>
  <si>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</si>
  <si>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</si>
  <si>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</si>
  <si>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</si>
  <si>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</si>
  <si>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</si>
  <si>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</si>
  <si>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</si>
  <si>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</si>
  <si>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</si>
  <si>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</si>
  <si>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</si>
  <si>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</si>
  <si>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</si>
  <si>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</si>
  <si>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</si>
  <si>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</si>
  <si>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</si>
  <si>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</si>
  <si>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</si>
  <si>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</si>
  <si>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</si>
  <si>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</si>
  <si>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</si>
  <si>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</si>
  <si>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</si>
  <si>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</si>
  <si>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</si>
  <si>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</si>
  <si>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</si>
  <si>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</si>
  <si>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</si>
  <si>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</si>
  <si>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</si>
  <si>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2016 року</t>
  </si>
  <si>
    <t>% виконання  плану на січень-листопад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</si>
  <si>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 місяць  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</si>
  <si>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</si>
  <si>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</si>
  <si>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</si>
  <si>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</si>
  <si>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</si>
  <si>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30.11.2016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</si>
  <si>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29.11.16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</si>
</sst>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191" fontId="80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25" fillId="13" borderId="20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G6">
            <v>972237.79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4" sqref="D10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225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219</v>
      </c>
      <c r="O3" s="450" t="s">
        <v>220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216</v>
      </c>
      <c r="F4" s="433" t="s">
        <v>34</v>
      </c>
      <c r="G4" s="426" t="s">
        <v>217</v>
      </c>
      <c r="H4" s="435" t="s">
        <v>218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226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221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884421.85</v>
      </c>
      <c r="F8" s="191">
        <f>F9+F15+F18+F19+F20+F37+F17</f>
        <v>880201.8</v>
      </c>
      <c r="G8" s="191">
        <f aca="true" t="shared" si="0" ref="G8:G37">F8-E8</f>
        <v>-4220.04999999993</v>
      </c>
      <c r="H8" s="192">
        <f>F8/E8*100</f>
        <v>99.52284647874767</v>
      </c>
      <c r="I8" s="193">
        <f>F8-D8</f>
        <v>-76869.65000000002</v>
      </c>
      <c r="J8" s="193">
        <f>F8/D8*100</f>
        <v>91.96824333230293</v>
      </c>
      <c r="K8" s="191">
        <v>608809.78</v>
      </c>
      <c r="L8" s="191">
        <f aca="true" t="shared" si="1" ref="L8:L51">F8-K8</f>
        <v>271392.02</v>
      </c>
      <c r="M8" s="250">
        <f aca="true" t="shared" si="2" ref="M8:M28">F8/K8</f>
        <v>1.4457747377185695</v>
      </c>
      <c r="N8" s="191">
        <f>N9+N15+N18+N19+N20+N17</f>
        <v>88745.92000000001</v>
      </c>
      <c r="O8" s="191">
        <f>O9+O15+O18+O19+O20+O17</f>
        <v>82583.04000000004</v>
      </c>
      <c r="P8" s="191">
        <f>O8-N8</f>
        <v>-6162.879999999976</v>
      </c>
      <c r="Q8" s="191">
        <f>O8/N8*100</f>
        <v>93.05559061194027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481720.67</v>
      </c>
      <c r="F9" s="196">
        <v>473853.86</v>
      </c>
      <c r="G9" s="190">
        <f t="shared" si="0"/>
        <v>-7866.809999999998</v>
      </c>
      <c r="H9" s="197">
        <f>F9/E9*100</f>
        <v>98.36693534450161</v>
      </c>
      <c r="I9" s="198">
        <f>F9-D9</f>
        <v>-56735.140000000014</v>
      </c>
      <c r="J9" s="198">
        <f>F9/D9*100</f>
        <v>89.30713980123976</v>
      </c>
      <c r="K9" s="412">
        <v>329224.03</v>
      </c>
      <c r="L9" s="199">
        <f t="shared" si="1"/>
        <v>144629.82999999996</v>
      </c>
      <c r="M9" s="251">
        <f t="shared" si="2"/>
        <v>1.439305205030143</v>
      </c>
      <c r="N9" s="197">
        <f>E9-жовтень!E9</f>
        <v>52597</v>
      </c>
      <c r="O9" s="200">
        <f>F9-жовтень!F9</f>
        <v>42571.07000000001</v>
      </c>
      <c r="P9" s="201">
        <f>O9-N9</f>
        <v>-10025.929999999993</v>
      </c>
      <c r="Q9" s="198">
        <f>O9/N9*100</f>
        <v>80.93820940357817</v>
      </c>
      <c r="R9" s="106"/>
      <c r="S9" s="107"/>
      <c r="T9" s="186">
        <f>D9-E9</f>
        <v>48868.330000000016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437450.24</v>
      </c>
      <c r="F10" s="171">
        <v>416032.39</v>
      </c>
      <c r="G10" s="109">
        <f t="shared" si="0"/>
        <v>-21417.849999999977</v>
      </c>
      <c r="H10" s="32">
        <f aca="true" t="shared" si="3" ref="H10:H36">F10/E10*100</f>
        <v>95.1039345640775</v>
      </c>
      <c r="I10" s="110">
        <f aca="true" t="shared" si="4" ref="I10:I37">F10-D10</f>
        <v>-69176.60999999999</v>
      </c>
      <c r="J10" s="110">
        <f aca="true" t="shared" si="5" ref="J10:J36">F10/D10*100</f>
        <v>85.74292521367082</v>
      </c>
      <c r="K10" s="112">
        <v>292222.53</v>
      </c>
      <c r="L10" s="112">
        <f t="shared" si="1"/>
        <v>123809.85999999999</v>
      </c>
      <c r="M10" s="252">
        <f t="shared" si="2"/>
        <v>1.4236834853219564</v>
      </c>
      <c r="N10" s="111">
        <f>E10-жовтень!E10</f>
        <v>51300</v>
      </c>
      <c r="O10" s="179">
        <f>F10-жовтень!F10</f>
        <v>36584.04000000004</v>
      </c>
      <c r="P10" s="112">
        <f aca="true" t="shared" si="6" ref="P10:P37">O10-N10</f>
        <v>-14715.959999999963</v>
      </c>
      <c r="Q10" s="198">
        <f aca="true" t="shared" si="7" ref="Q10:Q16">O10/N10*100</f>
        <v>71.31391812865505</v>
      </c>
      <c r="R10" s="42"/>
      <c r="S10" s="100"/>
      <c r="T10" s="186">
        <f aca="true" t="shared" si="8" ref="T10:T73">D10-E10</f>
        <v>47758.76000000001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22914.94</v>
      </c>
      <c r="F11" s="171">
        <v>36707.03</v>
      </c>
      <c r="G11" s="109">
        <f t="shared" si="0"/>
        <v>13792.09</v>
      </c>
      <c r="H11" s="32">
        <f t="shared" si="3"/>
        <v>160.18820036186</v>
      </c>
      <c r="I11" s="110">
        <f t="shared" si="4"/>
        <v>13707.029999999999</v>
      </c>
      <c r="J11" s="110">
        <f t="shared" si="5"/>
        <v>159.59578260869566</v>
      </c>
      <c r="K11" s="112">
        <v>17520.05</v>
      </c>
      <c r="L11" s="112">
        <f t="shared" si="1"/>
        <v>19186.98</v>
      </c>
      <c r="M11" s="252">
        <f t="shared" si="2"/>
        <v>2.095144134862629</v>
      </c>
      <c r="N11" s="111">
        <f>E11-жовтень!E11</f>
        <v>100</v>
      </c>
      <c r="O11" s="179">
        <f>F11-жовтень!F11</f>
        <v>3942.9300000000003</v>
      </c>
      <c r="P11" s="112">
        <f t="shared" si="6"/>
        <v>3842.9300000000003</v>
      </c>
      <c r="Q11" s="198">
        <f t="shared" si="7"/>
        <v>3942.9300000000003</v>
      </c>
      <c r="R11" s="42"/>
      <c r="S11" s="100"/>
      <c r="T11" s="186">
        <f t="shared" si="8"/>
        <v>85.06000000000131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6460.61</v>
      </c>
      <c r="F12" s="171">
        <v>9248.32</v>
      </c>
      <c r="G12" s="109">
        <f t="shared" si="0"/>
        <v>2787.71</v>
      </c>
      <c r="H12" s="32">
        <f t="shared" si="3"/>
        <v>143.14933110031407</v>
      </c>
      <c r="I12" s="110">
        <f t="shared" si="4"/>
        <v>2748.3199999999997</v>
      </c>
      <c r="J12" s="110">
        <f t="shared" si="5"/>
        <v>142.28184615384615</v>
      </c>
      <c r="K12" s="112">
        <v>4581.23</v>
      </c>
      <c r="L12" s="112">
        <f t="shared" si="1"/>
        <v>4667.09</v>
      </c>
      <c r="M12" s="252">
        <f t="shared" si="2"/>
        <v>2.0187416916417646</v>
      </c>
      <c r="N12" s="111">
        <f>E12-жовтень!E12</f>
        <v>80</v>
      </c>
      <c r="O12" s="179">
        <f>F12-жовтень!F12</f>
        <v>1271.75</v>
      </c>
      <c r="P12" s="112">
        <f t="shared" si="6"/>
        <v>1191.75</v>
      </c>
      <c r="Q12" s="198">
        <f t="shared" si="7"/>
        <v>1589.6875</v>
      </c>
      <c r="R12" s="42"/>
      <c r="S12" s="100"/>
      <c r="T12" s="186">
        <f t="shared" si="8"/>
        <v>39.39000000000033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11414.84</v>
      </c>
      <c r="F13" s="171">
        <v>8897.94</v>
      </c>
      <c r="G13" s="109">
        <f t="shared" si="0"/>
        <v>-2516.8999999999996</v>
      </c>
      <c r="H13" s="32">
        <f t="shared" si="3"/>
        <v>77.95063268517124</v>
      </c>
      <c r="I13" s="110">
        <f t="shared" si="4"/>
        <v>-3502.0599999999995</v>
      </c>
      <c r="J13" s="110">
        <f t="shared" si="5"/>
        <v>71.75758064516128</v>
      </c>
      <c r="K13" s="112">
        <v>6730.35</v>
      </c>
      <c r="L13" s="112">
        <f t="shared" si="1"/>
        <v>2167.59</v>
      </c>
      <c r="M13" s="252">
        <f t="shared" si="2"/>
        <v>1.3220620027190264</v>
      </c>
      <c r="N13" s="111">
        <f>E13-жовтень!E13</f>
        <v>1100</v>
      </c>
      <c r="O13" s="179">
        <f>F13-жовтень!F13</f>
        <v>548.1499999999996</v>
      </c>
      <c r="P13" s="112">
        <f t="shared" si="6"/>
        <v>-551.8500000000004</v>
      </c>
      <c r="Q13" s="198">
        <f t="shared" si="7"/>
        <v>49.83181818181815</v>
      </c>
      <c r="R13" s="42"/>
      <c r="S13" s="100"/>
      <c r="T13" s="186">
        <f t="shared" si="8"/>
        <v>985.1599999999999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3480.04</v>
      </c>
      <c r="F14" s="171">
        <v>2968.16</v>
      </c>
      <c r="G14" s="109">
        <f t="shared" si="0"/>
        <v>-511.8800000000001</v>
      </c>
      <c r="H14" s="32">
        <f t="shared" si="3"/>
        <v>85.29097366696934</v>
      </c>
      <c r="I14" s="110">
        <f t="shared" si="4"/>
        <v>-511.84000000000015</v>
      </c>
      <c r="J14" s="110">
        <f t="shared" si="5"/>
        <v>85.2919540229885</v>
      </c>
      <c r="K14" s="112">
        <v>8169.86</v>
      </c>
      <c r="L14" s="112">
        <f t="shared" si="1"/>
        <v>-5201.7</v>
      </c>
      <c r="M14" s="252">
        <f t="shared" si="2"/>
        <v>0.3633061031645585</v>
      </c>
      <c r="N14" s="111">
        <f>E14-жовтень!E14</f>
        <v>17</v>
      </c>
      <c r="O14" s="179">
        <f>F14-жовтень!F14</f>
        <v>224.17000000000007</v>
      </c>
      <c r="P14" s="112">
        <f t="shared" si="6"/>
        <v>207.17000000000007</v>
      </c>
      <c r="Q14" s="198">
        <f t="shared" si="7"/>
        <v>1318.64705882353</v>
      </c>
      <c r="R14" s="42"/>
      <c r="S14" s="100"/>
      <c r="T14" s="186">
        <f t="shared" si="8"/>
        <v>-0.03999999999996362</v>
      </c>
      <c r="U14" s="273">
        <v>2880</v>
      </c>
      <c r="V14" s="186">
        <f>U14-T14</f>
        <v>2880.04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495</v>
      </c>
      <c r="F15" s="196">
        <v>408.11</v>
      </c>
      <c r="G15" s="190">
        <f t="shared" si="0"/>
        <v>-86.88999999999999</v>
      </c>
      <c r="H15" s="197">
        <f>F15/E15*100</f>
        <v>82.44646464646465</v>
      </c>
      <c r="I15" s="198">
        <f t="shared" si="4"/>
        <v>-91.88999999999999</v>
      </c>
      <c r="J15" s="198">
        <f t="shared" si="5"/>
        <v>81.622</v>
      </c>
      <c r="K15" s="201">
        <v>-536.92</v>
      </c>
      <c r="L15" s="201">
        <f t="shared" si="1"/>
        <v>945.03</v>
      </c>
      <c r="M15" s="253">
        <f t="shared" si="2"/>
        <v>-0.7600946137227148</v>
      </c>
      <c r="N15" s="197">
        <f>E15-жовтень!E15</f>
        <v>115</v>
      </c>
      <c r="O15" s="200">
        <f>F15-жовтень!F15</f>
        <v>21.29000000000002</v>
      </c>
      <c r="P15" s="201">
        <f t="shared" si="6"/>
        <v>-93.70999999999998</v>
      </c>
      <c r="Q15" s="198">
        <f t="shared" si="7"/>
        <v>18.513043478260887</v>
      </c>
      <c r="R15" s="42"/>
      <c r="S15" s="100"/>
      <c r="T15" s="186">
        <f t="shared" si="8"/>
        <v>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E16-жовтень!E16</f>
        <v>0</v>
      </c>
      <c r="O16" s="200">
        <f>F16-жовтень!F16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E17-жовтень!E17</f>
        <v>0</v>
      </c>
      <c r="O17" s="200">
        <f>F17-жовтень!F17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124.7</v>
      </c>
      <c r="G18" s="190">
        <f t="shared" si="0"/>
        <v>18.900000000000006</v>
      </c>
      <c r="H18" s="197">
        <f t="shared" si="3"/>
        <v>117.86389413988658</v>
      </c>
      <c r="I18" s="198">
        <f t="shared" si="4"/>
        <v>18.900000000000006</v>
      </c>
      <c r="J18" s="198">
        <f t="shared" si="5"/>
        <v>117.86389413988658</v>
      </c>
      <c r="K18" s="201">
        <v>107.4</v>
      </c>
      <c r="L18" s="201">
        <f t="shared" si="1"/>
        <v>17.299999999999997</v>
      </c>
      <c r="M18" s="253">
        <f t="shared" si="2"/>
        <v>1.1610800744878957</v>
      </c>
      <c r="N18" s="197">
        <f>E18-жовтень!E18</f>
        <v>0</v>
      </c>
      <c r="O18" s="200">
        <f>F18-жовтень!F18</f>
        <v>18.900000000000006</v>
      </c>
      <c r="P18" s="201">
        <f t="shared" si="6"/>
        <v>18.900000000000006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101400.4</v>
      </c>
      <c r="F19" s="196">
        <v>90318.19</v>
      </c>
      <c r="G19" s="190">
        <f t="shared" si="0"/>
        <v>-11082.209999999992</v>
      </c>
      <c r="H19" s="197">
        <f t="shared" si="3"/>
        <v>89.07084192961764</v>
      </c>
      <c r="I19" s="198">
        <f t="shared" si="4"/>
        <v>-19581.809999999998</v>
      </c>
      <c r="J19" s="198">
        <f t="shared" si="5"/>
        <v>82.18215650591448</v>
      </c>
      <c r="K19" s="209">
        <v>65538.97</v>
      </c>
      <c r="L19" s="201">
        <f t="shared" si="1"/>
        <v>24779.22</v>
      </c>
      <c r="M19" s="259">
        <f t="shared" si="2"/>
        <v>1.3780837568854072</v>
      </c>
      <c r="N19" s="197">
        <f>E19-жовтень!E19</f>
        <v>10440</v>
      </c>
      <c r="O19" s="200">
        <f>F19-жовтень!F19</f>
        <v>6687.760000000009</v>
      </c>
      <c r="P19" s="201">
        <f t="shared" si="6"/>
        <v>-3752.2399999999907</v>
      </c>
      <c r="Q19" s="198">
        <f aca="true" t="shared" si="9" ref="Q19:Q24">O19/N19*100</f>
        <v>64.05900383141771</v>
      </c>
      <c r="R19" s="113"/>
      <c r="S19" s="114"/>
      <c r="T19" s="186">
        <f t="shared" si="8"/>
        <v>8499.600000000006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300699.98</v>
      </c>
      <c r="F20" s="272">
        <f>F21+F29+F30+F31+F32</f>
        <v>315496.77</v>
      </c>
      <c r="G20" s="190">
        <f t="shared" si="0"/>
        <v>14796.790000000037</v>
      </c>
      <c r="H20" s="197">
        <f t="shared" si="3"/>
        <v>104.9207818370989</v>
      </c>
      <c r="I20" s="198">
        <f t="shared" si="4"/>
        <v>-479.88000000000466</v>
      </c>
      <c r="J20" s="198">
        <f t="shared" si="5"/>
        <v>99.84812801832034</v>
      </c>
      <c r="K20" s="198">
        <v>207711.81</v>
      </c>
      <c r="L20" s="201">
        <f t="shared" si="1"/>
        <v>107784.96000000002</v>
      </c>
      <c r="M20" s="254">
        <f t="shared" si="2"/>
        <v>1.518915896019586</v>
      </c>
      <c r="N20" s="197">
        <f>N21+N30+N31+N32</f>
        <v>25593.920000000013</v>
      </c>
      <c r="O20" s="200">
        <f>F20-жовтень!F20</f>
        <v>33284.02000000002</v>
      </c>
      <c r="P20" s="201">
        <f t="shared" si="6"/>
        <v>7690.100000000006</v>
      </c>
      <c r="Q20" s="198">
        <f t="shared" si="9"/>
        <v>130.0465891899326</v>
      </c>
      <c r="R20" s="113"/>
      <c r="S20" s="114"/>
      <c r="T20" s="186">
        <f t="shared" si="8"/>
        <v>15276.670000000042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162963.42</v>
      </c>
      <c r="F21" s="211">
        <f>F22+F25+F26</f>
        <v>165702.89</v>
      </c>
      <c r="G21" s="190">
        <f t="shared" si="0"/>
        <v>2739.470000000001</v>
      </c>
      <c r="H21" s="197">
        <f t="shared" si="3"/>
        <v>101.6810336945555</v>
      </c>
      <c r="I21" s="198">
        <f t="shared" si="4"/>
        <v>-9196.75999999998</v>
      </c>
      <c r="J21" s="198">
        <f t="shared" si="5"/>
        <v>94.74169330813413</v>
      </c>
      <c r="K21" s="198">
        <v>109750.31</v>
      </c>
      <c r="L21" s="201">
        <f t="shared" si="1"/>
        <v>55952.580000000016</v>
      </c>
      <c r="M21" s="254">
        <f t="shared" si="2"/>
        <v>1.509817056553189</v>
      </c>
      <c r="N21" s="197">
        <f>N22+N25+N26</f>
        <v>13520.01000000001</v>
      </c>
      <c r="O21" s="200">
        <f>F21-жовтень!F21</f>
        <v>12046.570000000007</v>
      </c>
      <c r="P21" s="201">
        <f t="shared" si="6"/>
        <v>-1473.4400000000023</v>
      </c>
      <c r="Q21" s="198">
        <f t="shared" si="9"/>
        <v>89.10178320874022</v>
      </c>
      <c r="R21" s="113"/>
      <c r="S21" s="114"/>
      <c r="T21" s="186">
        <f t="shared" si="8"/>
        <v>11936.229999999981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17724.4</v>
      </c>
      <c r="F22" s="213">
        <v>20658.58</v>
      </c>
      <c r="G22" s="212">
        <f t="shared" si="0"/>
        <v>2934.1800000000003</v>
      </c>
      <c r="H22" s="214">
        <f t="shared" si="3"/>
        <v>116.55446728803231</v>
      </c>
      <c r="I22" s="215">
        <f t="shared" si="4"/>
        <v>2158.5800000000017</v>
      </c>
      <c r="J22" s="215">
        <f t="shared" si="5"/>
        <v>111.668</v>
      </c>
      <c r="K22" s="216">
        <v>12713.66</v>
      </c>
      <c r="L22" s="206">
        <f t="shared" si="1"/>
        <v>7944.920000000002</v>
      </c>
      <c r="M22" s="262">
        <f t="shared" si="2"/>
        <v>1.6249121024158268</v>
      </c>
      <c r="N22" s="214">
        <f>E22-жовтень!E22</f>
        <v>400</v>
      </c>
      <c r="O22" s="217">
        <f>F22-жовтень!F22</f>
        <v>437.1900000000023</v>
      </c>
      <c r="P22" s="218">
        <f t="shared" si="6"/>
        <v>37.19000000000233</v>
      </c>
      <c r="Q22" s="215">
        <f t="shared" si="9"/>
        <v>109.29750000000058</v>
      </c>
      <c r="R22" s="113"/>
      <c r="S22" s="114"/>
      <c r="T22" s="186">
        <f t="shared" si="8"/>
        <v>775.5999999999985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1424.4</v>
      </c>
      <c r="F23" s="203">
        <v>814.99</v>
      </c>
      <c r="G23" s="241">
        <f t="shared" si="0"/>
        <v>-609.4100000000001</v>
      </c>
      <c r="H23" s="242">
        <f t="shared" si="3"/>
        <v>57.21637180567256</v>
      </c>
      <c r="I23" s="243">
        <f t="shared" si="4"/>
        <v>-1185.01</v>
      </c>
      <c r="J23" s="243">
        <f t="shared" si="5"/>
        <v>40.7495</v>
      </c>
      <c r="K23" s="243">
        <v>683.67</v>
      </c>
      <c r="L23" s="243">
        <f t="shared" si="1"/>
        <v>131.32000000000005</v>
      </c>
      <c r="M23" s="413">
        <f t="shared" si="2"/>
        <v>1.1920809747392749</v>
      </c>
      <c r="N23" s="242">
        <f>E23-жовтень!E23</f>
        <v>200</v>
      </c>
      <c r="O23" s="242">
        <f>F23-жовтень!F23</f>
        <v>19.450000000000045</v>
      </c>
      <c r="P23" s="243">
        <f t="shared" si="6"/>
        <v>-180.54999999999995</v>
      </c>
      <c r="Q23" s="243">
        <f t="shared" si="9"/>
        <v>9.725000000000023</v>
      </c>
      <c r="R23" s="113"/>
      <c r="S23" s="114"/>
      <c r="T23" s="186">
        <f t="shared" si="8"/>
        <v>575.5999999999999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16300</v>
      </c>
      <c r="F24" s="203">
        <v>19843.59</v>
      </c>
      <c r="G24" s="241">
        <f t="shared" si="0"/>
        <v>3543.59</v>
      </c>
      <c r="H24" s="242">
        <f t="shared" si="3"/>
        <v>121.73981595092025</v>
      </c>
      <c r="I24" s="243">
        <f t="shared" si="4"/>
        <v>3343.59</v>
      </c>
      <c r="J24" s="243">
        <f t="shared" si="5"/>
        <v>120.26418181818181</v>
      </c>
      <c r="K24" s="243">
        <v>12029.99</v>
      </c>
      <c r="L24" s="243">
        <f t="shared" si="1"/>
        <v>7813.6</v>
      </c>
      <c r="M24" s="413">
        <f t="shared" si="2"/>
        <v>1.649510099343391</v>
      </c>
      <c r="N24" s="242">
        <f>E24-жовтень!E24</f>
        <v>200</v>
      </c>
      <c r="O24" s="242">
        <f>F24-жовтень!F24</f>
        <v>417.7400000000016</v>
      </c>
      <c r="P24" s="243">
        <f t="shared" si="6"/>
        <v>217.7400000000016</v>
      </c>
      <c r="Q24" s="243">
        <f t="shared" si="9"/>
        <v>208.87000000000083</v>
      </c>
      <c r="R24" s="113"/>
      <c r="S24" s="114"/>
      <c r="T24" s="186">
        <f t="shared" si="8"/>
        <v>200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787.37</v>
      </c>
      <c r="G25" s="212">
        <f t="shared" si="0"/>
        <v>-192.66999999999996</v>
      </c>
      <c r="H25" s="214">
        <f t="shared" si="3"/>
        <v>80.34059834292478</v>
      </c>
      <c r="I25" s="215">
        <f t="shared" si="4"/>
        <v>-212.63</v>
      </c>
      <c r="J25" s="215">
        <f t="shared" si="5"/>
        <v>78.737</v>
      </c>
      <c r="K25" s="215">
        <v>3649.2</v>
      </c>
      <c r="L25" s="215">
        <f t="shared" si="1"/>
        <v>-2861.83</v>
      </c>
      <c r="M25" s="257">
        <f t="shared" si="2"/>
        <v>0.21576509919982464</v>
      </c>
      <c r="N25" s="214">
        <f>E25-жовтень!E25</f>
        <v>0</v>
      </c>
      <c r="O25" s="217">
        <f>F25-жовтень!F25</f>
        <v>-22.91999999999996</v>
      </c>
      <c r="P25" s="218">
        <f t="shared" si="6"/>
        <v>-22.91999999999996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144258.98</v>
      </c>
      <c r="F26" s="213">
        <v>144256.94</v>
      </c>
      <c r="G26" s="212">
        <f t="shared" si="0"/>
        <v>-2.040000000008149</v>
      </c>
      <c r="H26" s="214">
        <f t="shared" si="3"/>
        <v>99.99858587659499</v>
      </c>
      <c r="I26" s="215">
        <f t="shared" si="4"/>
        <v>-11142.709999999992</v>
      </c>
      <c r="J26" s="215">
        <f t="shared" si="5"/>
        <v>92.82964279520579</v>
      </c>
      <c r="K26" s="216">
        <v>93387.45</v>
      </c>
      <c r="L26" s="216">
        <f t="shared" si="1"/>
        <v>50869.490000000005</v>
      </c>
      <c r="M26" s="256">
        <f t="shared" si="2"/>
        <v>1.5447144129109427</v>
      </c>
      <c r="N26" s="214">
        <f>E26-жовтень!E26</f>
        <v>13120.01000000001</v>
      </c>
      <c r="O26" s="217">
        <f>F26-жовтень!F26</f>
        <v>11632.299999999988</v>
      </c>
      <c r="P26" s="218">
        <f t="shared" si="6"/>
        <v>-1487.710000000021</v>
      </c>
      <c r="Q26" s="215">
        <f>O26/N26*100</f>
        <v>88.66075559393613</v>
      </c>
      <c r="R26" s="113"/>
      <c r="S26" s="114"/>
      <c r="T26" s="186">
        <f t="shared" si="8"/>
        <v>11140.669999999984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44411.8</v>
      </c>
      <c r="F27" s="203">
        <v>45666.35</v>
      </c>
      <c r="G27" s="241">
        <f t="shared" si="0"/>
        <v>1254.5499999999956</v>
      </c>
      <c r="H27" s="242">
        <f t="shared" si="3"/>
        <v>102.82481232465244</v>
      </c>
      <c r="I27" s="243">
        <f t="shared" si="4"/>
        <v>-1700.6500000000015</v>
      </c>
      <c r="J27" s="243">
        <f t="shared" si="5"/>
        <v>96.40963117782422</v>
      </c>
      <c r="K27" s="243">
        <v>25267.13</v>
      </c>
      <c r="L27" s="243">
        <f t="shared" si="1"/>
        <v>20399.219999999998</v>
      </c>
      <c r="M27" s="413">
        <f t="shared" si="2"/>
        <v>1.807342187260682</v>
      </c>
      <c r="N27" s="242">
        <f>E27-жовтень!E27</f>
        <v>4010</v>
      </c>
      <c r="O27" s="242">
        <f>F27-жовтень!F27</f>
        <v>3660.0699999999997</v>
      </c>
      <c r="P27" s="243">
        <f t="shared" si="6"/>
        <v>-349.9300000000003</v>
      </c>
      <c r="Q27" s="243">
        <f>O27/N27*100</f>
        <v>91.27356608478803</v>
      </c>
      <c r="R27" s="113"/>
      <c r="S27" s="114"/>
      <c r="T27" s="186">
        <f t="shared" si="8"/>
        <v>2955.199999999997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99847.17</v>
      </c>
      <c r="F28" s="203">
        <v>98590.59</v>
      </c>
      <c r="G28" s="241">
        <f t="shared" si="0"/>
        <v>-1256.5800000000017</v>
      </c>
      <c r="H28" s="242">
        <f t="shared" si="3"/>
        <v>98.74149662929855</v>
      </c>
      <c r="I28" s="243">
        <f t="shared" si="4"/>
        <v>-9442.059999999998</v>
      </c>
      <c r="J28" s="243">
        <f t="shared" si="5"/>
        <v>91.25999408512149</v>
      </c>
      <c r="K28" s="243">
        <v>68120.32</v>
      </c>
      <c r="L28" s="243">
        <f t="shared" si="1"/>
        <v>30470.26999999999</v>
      </c>
      <c r="M28" s="413">
        <f t="shared" si="2"/>
        <v>1.4473007466788175</v>
      </c>
      <c r="N28" s="242">
        <f>E28-жовтень!E28</f>
        <v>9110</v>
      </c>
      <c r="O28" s="242">
        <f>F28-жовтень!F28</f>
        <v>7972.229999999996</v>
      </c>
      <c r="P28" s="243">
        <f t="shared" si="6"/>
        <v>-1137.770000000004</v>
      </c>
      <c r="Q28" s="243">
        <f>O28/N28*100</f>
        <v>87.51075740944013</v>
      </c>
      <c r="R28" s="113"/>
      <c r="S28" s="114"/>
      <c r="T28" s="186">
        <f t="shared" si="8"/>
        <v>8185.479999999996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E29-жовтень!E29</f>
        <v>0</v>
      </c>
      <c r="O29" s="200">
        <f>F29-жовтень!F29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70.81</v>
      </c>
      <c r="F30" s="196">
        <v>114.68</v>
      </c>
      <c r="G30" s="190">
        <f t="shared" si="0"/>
        <v>43.870000000000005</v>
      </c>
      <c r="H30" s="197">
        <f t="shared" si="3"/>
        <v>161.95452619686486</v>
      </c>
      <c r="I30" s="198">
        <f t="shared" si="4"/>
        <v>37.68000000000001</v>
      </c>
      <c r="J30" s="198">
        <f t="shared" si="5"/>
        <v>148.93506493506493</v>
      </c>
      <c r="K30" s="198">
        <v>74.09</v>
      </c>
      <c r="L30" s="198">
        <f t="shared" si="1"/>
        <v>40.59</v>
      </c>
      <c r="M30" s="255">
        <f>F30/K30</f>
        <v>1.5478472128492375</v>
      </c>
      <c r="N30" s="197">
        <f>E30-жовтень!E30</f>
        <v>8</v>
      </c>
      <c r="O30" s="200">
        <f>F30-жовтень!F30</f>
        <v>18.5</v>
      </c>
      <c r="P30" s="201">
        <f t="shared" si="6"/>
        <v>10.5</v>
      </c>
      <c r="Q30" s="198">
        <f>O30/N30*100</f>
        <v>231.25</v>
      </c>
      <c r="R30" s="113"/>
      <c r="S30" s="114"/>
      <c r="T30" s="186">
        <f t="shared" si="8"/>
        <v>6.189999999999998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-173.97</v>
      </c>
      <c r="G31" s="190">
        <f t="shared" si="0"/>
        <v>-173.97</v>
      </c>
      <c r="H31" s="197"/>
      <c r="I31" s="198">
        <f t="shared" si="4"/>
        <v>-173.97</v>
      </c>
      <c r="J31" s="198"/>
      <c r="K31" s="198">
        <v>-772.87</v>
      </c>
      <c r="L31" s="198">
        <f t="shared" si="1"/>
        <v>598.9</v>
      </c>
      <c r="M31" s="255">
        <f>F31/K31</f>
        <v>0.2250960704905094</v>
      </c>
      <c r="N31" s="197">
        <f>E31-жовтень!E31</f>
        <v>0</v>
      </c>
      <c r="O31" s="200">
        <f>F31-жовтень!F31</f>
        <v>-0.9000000000000057</v>
      </c>
      <c r="P31" s="201">
        <f t="shared" si="6"/>
        <v>-0.9000000000000057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137665.75</v>
      </c>
      <c r="F32" s="203">
        <v>149853.02</v>
      </c>
      <c r="G32" s="202">
        <f t="shared" si="0"/>
        <v>12187.26999999999</v>
      </c>
      <c r="H32" s="204">
        <f t="shared" si="3"/>
        <v>108.85279744598783</v>
      </c>
      <c r="I32" s="205">
        <f t="shared" si="4"/>
        <v>8853.01999999999</v>
      </c>
      <c r="J32" s="205">
        <f t="shared" si="5"/>
        <v>106.27873758865248</v>
      </c>
      <c r="K32" s="219">
        <v>98660.28</v>
      </c>
      <c r="L32" s="219">
        <f>F32-K32</f>
        <v>51192.73999999999</v>
      </c>
      <c r="M32" s="411">
        <f>F32/K32</f>
        <v>1.518878924730398</v>
      </c>
      <c r="N32" s="197">
        <f>E32-жовтень!E32</f>
        <v>12065.910000000003</v>
      </c>
      <c r="O32" s="200">
        <f>F32-жовтень!F32</f>
        <v>21219.84999999999</v>
      </c>
      <c r="P32" s="207">
        <f t="shared" si="6"/>
        <v>9153.939999999988</v>
      </c>
      <c r="Q32" s="205">
        <f>O32/N32*100</f>
        <v>175.86613856725256</v>
      </c>
      <c r="R32" s="113"/>
      <c r="S32" s="114"/>
      <c r="T32" s="186">
        <f t="shared" si="8"/>
        <v>3334.25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-1.15</v>
      </c>
      <c r="L33" s="142">
        <f t="shared" si="1"/>
        <v>1.38</v>
      </c>
      <c r="M33" s="264">
        <f aca="true" t="shared" si="10" ref="M33:M39">F33/K33</f>
        <v>-0.2</v>
      </c>
      <c r="N33" s="111">
        <f>E33-жовтень!E33</f>
        <v>0</v>
      </c>
      <c r="O33" s="179">
        <f>F33-жовтень!F33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33262.97</v>
      </c>
      <c r="F34" s="171">
        <v>37099.21</v>
      </c>
      <c r="G34" s="109">
        <f t="shared" si="0"/>
        <v>3836.239999999998</v>
      </c>
      <c r="H34" s="111">
        <f t="shared" si="3"/>
        <v>111.53306514721926</v>
      </c>
      <c r="I34" s="110">
        <f t="shared" si="4"/>
        <v>2882.209999999999</v>
      </c>
      <c r="J34" s="110">
        <f t="shared" si="5"/>
        <v>108.423327585703</v>
      </c>
      <c r="K34" s="142">
        <v>23706.55</v>
      </c>
      <c r="L34" s="142">
        <f t="shared" si="1"/>
        <v>13392.66</v>
      </c>
      <c r="M34" s="264">
        <f t="shared" si="10"/>
        <v>1.5649350074135628</v>
      </c>
      <c r="N34" s="111">
        <f>E34-жовтень!E34</f>
        <v>2600</v>
      </c>
      <c r="O34" s="179">
        <f>F34-жовтень!F34</f>
        <v>5523.169999999998</v>
      </c>
      <c r="P34" s="112">
        <f t="shared" si="6"/>
        <v>2923.1699999999983</v>
      </c>
      <c r="Q34" s="110">
        <f>O34/N34*100</f>
        <v>212.42961538461535</v>
      </c>
      <c r="R34" s="113"/>
      <c r="S34" s="114"/>
      <c r="T34" s="186">
        <f t="shared" si="8"/>
        <v>954.0299999999988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104351.78</v>
      </c>
      <c r="F35" s="171">
        <v>112700.5</v>
      </c>
      <c r="G35" s="109">
        <f t="shared" si="0"/>
        <v>8348.720000000001</v>
      </c>
      <c r="H35" s="111">
        <f t="shared" si="3"/>
        <v>108.00055351235982</v>
      </c>
      <c r="I35" s="110">
        <f t="shared" si="4"/>
        <v>5968.5</v>
      </c>
      <c r="J35" s="110">
        <f t="shared" si="5"/>
        <v>105.59204362328074</v>
      </c>
      <c r="K35" s="142">
        <v>74922.37</v>
      </c>
      <c r="L35" s="142">
        <f t="shared" si="1"/>
        <v>37778.130000000005</v>
      </c>
      <c r="M35" s="264">
        <f t="shared" si="10"/>
        <v>1.504230311988262</v>
      </c>
      <c r="N35" s="111">
        <f>E35-жовтень!E35</f>
        <v>9431.699999999997</v>
      </c>
      <c r="O35" s="179">
        <f>F35-жовтень!F35</f>
        <v>15696.679999999993</v>
      </c>
      <c r="P35" s="112">
        <f t="shared" si="6"/>
        <v>6264.979999999996</v>
      </c>
      <c r="Q35" s="110">
        <f>O35/N35*100</f>
        <v>166.42471664705195</v>
      </c>
      <c r="R35" s="113"/>
      <c r="S35" s="114"/>
      <c r="T35" s="186">
        <f t="shared" si="8"/>
        <v>2380.220000000001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51</v>
      </c>
      <c r="F36" s="171">
        <v>53.08</v>
      </c>
      <c r="G36" s="109">
        <f t="shared" si="0"/>
        <v>2.0799999999999983</v>
      </c>
      <c r="H36" s="111">
        <f t="shared" si="3"/>
        <v>104.07843137254902</v>
      </c>
      <c r="I36" s="110">
        <f t="shared" si="4"/>
        <v>2.0799999999999983</v>
      </c>
      <c r="J36" s="110">
        <f t="shared" si="5"/>
        <v>104.07843137254902</v>
      </c>
      <c r="K36" s="142">
        <v>32.51</v>
      </c>
      <c r="L36" s="142">
        <f t="shared" si="1"/>
        <v>20.57</v>
      </c>
      <c r="M36" s="264">
        <f t="shared" si="10"/>
        <v>1.6327283912642265</v>
      </c>
      <c r="N36" s="111">
        <f>E36-жовтень!E36</f>
        <v>34.21</v>
      </c>
      <c r="O36" s="179">
        <f>F36-жовтень!F36</f>
        <v>0</v>
      </c>
      <c r="P36" s="112">
        <f t="shared" si="6"/>
        <v>-34.21</v>
      </c>
      <c r="Q36" s="110"/>
      <c r="R36" s="113"/>
      <c r="S36" s="114"/>
      <c r="T36" s="186">
        <f t="shared" si="8"/>
        <v>0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6764.35</v>
      </c>
      <c r="L37" s="132">
        <f t="shared" si="1"/>
        <v>-6764.35</v>
      </c>
      <c r="M37" s="265">
        <f t="shared" si="10"/>
        <v>0</v>
      </c>
      <c r="N37" s="152">
        <f>E37-жовтень!E37</f>
        <v>0</v>
      </c>
      <c r="O37" s="180">
        <f>F37-жовтень!F37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59184.03</v>
      </c>
      <c r="F38" s="191">
        <f>F39+F40+F41+F42+F43+F45+F47+F48+F49+F50+F51+F56+F57+F61+F44</f>
        <v>60983.44000000002</v>
      </c>
      <c r="G38" s="191">
        <f>G39+G40+G41+G42+G43+G45+G47+G48+G49+G50+G51+G56+G57+G61</f>
        <v>1728.0399999999997</v>
      </c>
      <c r="H38" s="192">
        <f>F38/E38*100</f>
        <v>103.04036409822044</v>
      </c>
      <c r="I38" s="193">
        <f>F38-D38</f>
        <v>-859.0399999999863</v>
      </c>
      <c r="J38" s="193">
        <f>F38/D38*100</f>
        <v>98.61092245977201</v>
      </c>
      <c r="K38" s="191">
        <v>41741.88</v>
      </c>
      <c r="L38" s="191">
        <f t="shared" si="1"/>
        <v>19241.56000000002</v>
      </c>
      <c r="M38" s="250">
        <f t="shared" si="10"/>
        <v>1.4609653422414137</v>
      </c>
      <c r="N38" s="191">
        <f>N39+N40+N41+N42+N43+N45+N47+N48+N49+N50+N51+N56+N57+N61+N44</f>
        <v>3889</v>
      </c>
      <c r="O38" s="191">
        <f>O39+O40+O41+O42+O43+O45+O47+O48+O49+O50+O51+O56+O57+O61+O44</f>
        <v>5965.710000000002</v>
      </c>
      <c r="P38" s="191">
        <f>P39+P40+P41+P42+P43+P45+P47+P48+P49+P50+P51+P56+P57+P61</f>
        <v>2039.2900000000018</v>
      </c>
      <c r="Q38" s="191">
        <f>O38/N38*100</f>
        <v>153.3995885831834</v>
      </c>
      <c r="R38" s="15" t="e">
        <f>#N/A</f>
        <v>#N/A</v>
      </c>
      <c r="S38" s="15" t="e">
        <f>#N/A</f>
        <v>#N/A</v>
      </c>
      <c r="T38" s="186">
        <f t="shared" si="8"/>
        <v>2658.4500000000044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398</v>
      </c>
      <c r="F39" s="196">
        <v>551.21</v>
      </c>
      <c r="G39" s="202">
        <f>F39-E39</f>
        <v>153.21000000000004</v>
      </c>
      <c r="H39" s="204">
        <f aca="true" t="shared" si="11" ref="H39:H62">F39/E39*100</f>
        <v>138.49497487437188</v>
      </c>
      <c r="I39" s="205">
        <f>F39-D39</f>
        <v>151.21000000000004</v>
      </c>
      <c r="J39" s="205">
        <f>F39/D39*100</f>
        <v>137.8025</v>
      </c>
      <c r="K39" s="205">
        <v>0.21</v>
      </c>
      <c r="L39" s="205">
        <f t="shared" si="1"/>
        <v>551</v>
      </c>
      <c r="M39" s="266">
        <f t="shared" si="10"/>
        <v>2624.809523809524</v>
      </c>
      <c r="N39" s="204">
        <f>E39-жовтень!E39</f>
        <v>12</v>
      </c>
      <c r="O39" s="208">
        <f>F39-жовтень!F39</f>
        <v>66.38000000000005</v>
      </c>
      <c r="P39" s="207">
        <f>O39-N39</f>
        <v>54.38000000000005</v>
      </c>
      <c r="Q39" s="205">
        <f aca="true" t="shared" si="12" ref="Q39:Q62">O39/N39*100</f>
        <v>553.1666666666671</v>
      </c>
      <c r="R39" s="42"/>
      <c r="S39" s="100"/>
      <c r="T39" s="186">
        <f t="shared" si="8"/>
        <v>2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29466</v>
      </c>
      <c r="F40" s="196">
        <v>31079.13</v>
      </c>
      <c r="G40" s="202">
        <f aca="true" t="shared" si="13" ref="G40:G63">F40-E40</f>
        <v>1613.130000000001</v>
      </c>
      <c r="H40" s="204">
        <f t="shared" si="11"/>
        <v>105.47454693545104</v>
      </c>
      <c r="I40" s="205">
        <f aca="true" t="shared" si="14" ref="I40:I63">F40-D40</f>
        <v>1072.130000000001</v>
      </c>
      <c r="J40" s="205">
        <f>F40/D40*100</f>
        <v>103.57293298230412</v>
      </c>
      <c r="K40" s="205">
        <v>12874.31</v>
      </c>
      <c r="L40" s="205">
        <f t="shared" si="1"/>
        <v>18204.82</v>
      </c>
      <c r="M40" s="266"/>
      <c r="N40" s="204">
        <f>E40-жовтень!E40</f>
        <v>1700</v>
      </c>
      <c r="O40" s="208">
        <f>F40-жовтень!F40</f>
        <v>3409.010000000002</v>
      </c>
      <c r="P40" s="207">
        <f aca="true" t="shared" si="15" ref="P40:P63">O40-N40</f>
        <v>1709.010000000002</v>
      </c>
      <c r="Q40" s="205">
        <f t="shared" si="12"/>
        <v>200.53000000000014</v>
      </c>
      <c r="R40" s="42"/>
      <c r="S40" s="100"/>
      <c r="T40" s="186">
        <f t="shared" si="8"/>
        <v>541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379.93</v>
      </c>
      <c r="L41" s="205">
        <f t="shared" si="1"/>
        <v>-347.95</v>
      </c>
      <c r="M41" s="266">
        <f aca="true" t="shared" si="17" ref="M41:M63">F41/K41</f>
        <v>0.0841734003632248</v>
      </c>
      <c r="N41" s="204">
        <f>E41-жовтень!E41</f>
        <v>0</v>
      </c>
      <c r="O41" s="208">
        <f>F41-жовтень!F41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1.02</v>
      </c>
      <c r="L42" s="205">
        <f t="shared" si="1"/>
        <v>-0.92</v>
      </c>
      <c r="M42" s="266">
        <f t="shared" si="17"/>
        <v>0.09803921568627451</v>
      </c>
      <c r="N42" s="204">
        <f>E42-жовтень!E42</f>
        <v>0</v>
      </c>
      <c r="O42" s="208">
        <f>F42-жовтень!F42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110</v>
      </c>
      <c r="F43" s="196">
        <v>221.89</v>
      </c>
      <c r="G43" s="202">
        <f t="shared" si="13"/>
        <v>111.88999999999999</v>
      </c>
      <c r="H43" s="204">
        <f t="shared" si="11"/>
        <v>201.71818181818182</v>
      </c>
      <c r="I43" s="205">
        <f t="shared" si="14"/>
        <v>71.88999999999999</v>
      </c>
      <c r="J43" s="205">
        <f t="shared" si="16"/>
        <v>147.92666666666665</v>
      </c>
      <c r="K43" s="205">
        <v>267.84</v>
      </c>
      <c r="L43" s="205">
        <f t="shared" si="1"/>
        <v>-45.94999999999999</v>
      </c>
      <c r="M43" s="266">
        <f t="shared" si="17"/>
        <v>0.8284423536439666</v>
      </c>
      <c r="N43" s="204">
        <f>E43-жовтень!E43</f>
        <v>10</v>
      </c>
      <c r="O43" s="208">
        <f>F43-жовтень!F43</f>
        <v>14.20999999999998</v>
      </c>
      <c r="P43" s="207">
        <f t="shared" si="15"/>
        <v>4.2099999999999795</v>
      </c>
      <c r="Q43" s="205">
        <f t="shared" si="12"/>
        <v>142.0999999999998</v>
      </c>
      <c r="R43" s="42"/>
      <c r="S43" s="100"/>
      <c r="T43" s="186">
        <f t="shared" si="8"/>
        <v>40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85.37</v>
      </c>
      <c r="G44" s="202">
        <f t="shared" si="13"/>
        <v>71.37</v>
      </c>
      <c r="H44" s="204"/>
      <c r="I44" s="205">
        <f t="shared" si="14"/>
        <v>71.37</v>
      </c>
      <c r="J44" s="205"/>
      <c r="K44" s="205">
        <v>0</v>
      </c>
      <c r="L44" s="205">
        <f t="shared" si="1"/>
        <v>85.37</v>
      </c>
      <c r="M44" s="266"/>
      <c r="N44" s="204">
        <f>E44-жовтень!E44</f>
        <v>0</v>
      </c>
      <c r="O44" s="208">
        <f>F44-жовтень!F44</f>
        <v>37.42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290</v>
      </c>
      <c r="F45" s="196">
        <v>624.2</v>
      </c>
      <c r="G45" s="202">
        <f t="shared" si="13"/>
        <v>334.20000000000005</v>
      </c>
      <c r="H45" s="204">
        <f t="shared" si="11"/>
        <v>215.24137931034483</v>
      </c>
      <c r="I45" s="205">
        <f t="shared" si="14"/>
        <v>324.20000000000005</v>
      </c>
      <c r="J45" s="205">
        <f t="shared" si="16"/>
        <v>208.06666666666666</v>
      </c>
      <c r="K45" s="205">
        <v>0</v>
      </c>
      <c r="L45" s="205">
        <f t="shared" si="1"/>
        <v>624.2</v>
      </c>
      <c r="M45" s="266"/>
      <c r="N45" s="204">
        <f>E45-жовтень!E45</f>
        <v>18</v>
      </c>
      <c r="O45" s="208">
        <f>F45-жовтень!F45</f>
        <v>93.18000000000006</v>
      </c>
      <c r="P45" s="207">
        <f t="shared" si="15"/>
        <v>75.18000000000006</v>
      </c>
      <c r="Q45" s="205">
        <f t="shared" si="12"/>
        <v>517.6666666666671</v>
      </c>
      <c r="R45" s="42"/>
      <c r="S45" s="100"/>
      <c r="T45" s="186">
        <f t="shared" si="8"/>
        <v>10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E46-жовтень!E46</f>
        <v>0</v>
      </c>
      <c r="O46" s="208">
        <f>F46-жовтень!F46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9549.02</v>
      </c>
      <c r="F47" s="196">
        <v>10167.06</v>
      </c>
      <c r="G47" s="202">
        <f t="shared" si="13"/>
        <v>618.039999999999</v>
      </c>
      <c r="H47" s="204">
        <f t="shared" si="11"/>
        <v>106.47228720853028</v>
      </c>
      <c r="I47" s="205">
        <f t="shared" si="14"/>
        <v>267.0599999999995</v>
      </c>
      <c r="J47" s="205">
        <f t="shared" si="16"/>
        <v>102.69757575757575</v>
      </c>
      <c r="K47" s="205">
        <v>8884.54</v>
      </c>
      <c r="L47" s="205">
        <f t="shared" si="1"/>
        <v>1282.5199999999986</v>
      </c>
      <c r="M47" s="266">
        <f t="shared" si="17"/>
        <v>1.1443541252557812</v>
      </c>
      <c r="N47" s="204">
        <f>E47-жовтень!E47</f>
        <v>800</v>
      </c>
      <c r="O47" s="208">
        <f>F47-жовтень!F47</f>
        <v>1290.8199999999997</v>
      </c>
      <c r="P47" s="207">
        <f t="shared" si="15"/>
        <v>490.8199999999997</v>
      </c>
      <c r="Q47" s="205">
        <f t="shared" si="12"/>
        <v>161.35249999999996</v>
      </c>
      <c r="R47" s="42"/>
      <c r="S47" s="100"/>
      <c r="T47" s="186">
        <f t="shared" si="8"/>
        <v>350.97999999999956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280.62</v>
      </c>
      <c r="G48" s="202">
        <f t="shared" si="13"/>
        <v>-369.38</v>
      </c>
      <c r="H48" s="204">
        <f t="shared" si="11"/>
        <v>43.17230769230769</v>
      </c>
      <c r="I48" s="205">
        <f t="shared" si="14"/>
        <v>-369.38</v>
      </c>
      <c r="J48" s="205">
        <f t="shared" si="16"/>
        <v>43.17230769230769</v>
      </c>
      <c r="K48" s="205">
        <v>0</v>
      </c>
      <c r="L48" s="205">
        <f t="shared" si="1"/>
        <v>280.62</v>
      </c>
      <c r="M48" s="266"/>
      <c r="N48" s="204">
        <f>E48-жовтень!E48</f>
        <v>0</v>
      </c>
      <c r="O48" s="208">
        <f>F48-жовтень!F48</f>
        <v>34.09</v>
      </c>
      <c r="P48" s="207">
        <f t="shared" si="15"/>
        <v>34.09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40</v>
      </c>
      <c r="F49" s="196">
        <v>19.16</v>
      </c>
      <c r="G49" s="202">
        <f t="shared" si="13"/>
        <v>-20.84</v>
      </c>
      <c r="H49" s="204">
        <f t="shared" si="11"/>
        <v>47.9</v>
      </c>
      <c r="I49" s="205">
        <f t="shared" si="14"/>
        <v>-30.84</v>
      </c>
      <c r="J49" s="205">
        <f t="shared" si="16"/>
        <v>38.32</v>
      </c>
      <c r="K49" s="205">
        <v>0</v>
      </c>
      <c r="L49" s="205">
        <f t="shared" si="1"/>
        <v>19.16</v>
      </c>
      <c r="M49" s="266"/>
      <c r="N49" s="204">
        <f>E49-жовтень!E49</f>
        <v>4</v>
      </c>
      <c r="O49" s="208">
        <f>F49-жовтень!F49</f>
        <v>2.1999999999999993</v>
      </c>
      <c r="P49" s="207">
        <f t="shared" si="15"/>
        <v>-1.8000000000000007</v>
      </c>
      <c r="Q49" s="205">
        <f t="shared" si="12"/>
        <v>54.999999999999986</v>
      </c>
      <c r="R49" s="42"/>
      <c r="S49" s="100"/>
      <c r="T49" s="186">
        <f t="shared" si="8"/>
        <v>10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7216.23</v>
      </c>
      <c r="F50" s="196">
        <v>6734.69</v>
      </c>
      <c r="G50" s="202">
        <f t="shared" si="13"/>
        <v>-481.53999999999996</v>
      </c>
      <c r="H50" s="204">
        <f t="shared" si="11"/>
        <v>93.32698652897705</v>
      </c>
      <c r="I50" s="205">
        <f t="shared" si="14"/>
        <v>-1265.3100000000004</v>
      </c>
      <c r="J50" s="205">
        <f t="shared" si="16"/>
        <v>84.18362499999999</v>
      </c>
      <c r="K50" s="205">
        <v>8180.78</v>
      </c>
      <c r="L50" s="205">
        <f t="shared" si="1"/>
        <v>-1446.0900000000001</v>
      </c>
      <c r="M50" s="266">
        <f t="shared" si="17"/>
        <v>0.823233236928508</v>
      </c>
      <c r="N50" s="204">
        <f>E50-жовтень!E50</f>
        <v>650</v>
      </c>
      <c r="O50" s="208">
        <f>F50-жовтень!F50</f>
        <v>540.75</v>
      </c>
      <c r="P50" s="207">
        <f t="shared" si="15"/>
        <v>-109.25</v>
      </c>
      <c r="Q50" s="205">
        <f t="shared" si="12"/>
        <v>83.1923076923077</v>
      </c>
      <c r="R50" s="42"/>
      <c r="S50" s="100"/>
      <c r="T50" s="186">
        <f t="shared" si="8"/>
        <v>783.7700000000004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6101.19</v>
      </c>
      <c r="F51" s="196">
        <v>5098.16</v>
      </c>
      <c r="G51" s="202">
        <f t="shared" si="13"/>
        <v>-1003.0299999999997</v>
      </c>
      <c r="H51" s="204">
        <f t="shared" si="11"/>
        <v>83.56009237542185</v>
      </c>
      <c r="I51" s="205">
        <f t="shared" si="14"/>
        <v>-1901.88</v>
      </c>
      <c r="J51" s="205">
        <f t="shared" si="16"/>
        <v>72.83044096890875</v>
      </c>
      <c r="K51" s="205">
        <v>6761.32</v>
      </c>
      <c r="L51" s="205">
        <f t="shared" si="1"/>
        <v>-1663.1599999999999</v>
      </c>
      <c r="M51" s="266">
        <f t="shared" si="17"/>
        <v>0.7540184461022404</v>
      </c>
      <c r="N51" s="204">
        <f>E51-жовтень!E51</f>
        <v>635</v>
      </c>
      <c r="O51" s="208">
        <f>F51-жовтень!F51</f>
        <v>87.63000000000011</v>
      </c>
      <c r="P51" s="207">
        <f t="shared" si="15"/>
        <v>-547.3699999999999</v>
      </c>
      <c r="Q51" s="205">
        <f t="shared" si="12"/>
        <v>13.800000000000018</v>
      </c>
      <c r="R51" s="42"/>
      <c r="S51" s="100"/>
      <c r="T51" s="186">
        <f t="shared" si="8"/>
        <v>898.8500000000004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873.99</v>
      </c>
      <c r="F52" s="171">
        <v>780.91</v>
      </c>
      <c r="G52" s="36">
        <f t="shared" si="13"/>
        <v>-93.08000000000004</v>
      </c>
      <c r="H52" s="32">
        <f t="shared" si="11"/>
        <v>89.34999256284397</v>
      </c>
      <c r="I52" s="110">
        <f t="shared" si="14"/>
        <v>-189.09000000000003</v>
      </c>
      <c r="J52" s="110">
        <f t="shared" si="16"/>
        <v>80.5061855670103</v>
      </c>
      <c r="K52" s="110">
        <v>1017.62</v>
      </c>
      <c r="L52" s="110">
        <f>F52-K52</f>
        <v>-236.71000000000004</v>
      </c>
      <c r="M52" s="115">
        <f t="shared" si="17"/>
        <v>0.7673886126451916</v>
      </c>
      <c r="N52" s="111">
        <f>E52-жовтень!E52</f>
        <v>135</v>
      </c>
      <c r="O52" s="179">
        <f>F52-жовтень!F52</f>
        <v>78.61000000000001</v>
      </c>
      <c r="P52" s="112">
        <f t="shared" si="15"/>
        <v>-56.389999999999986</v>
      </c>
      <c r="Q52" s="132">
        <f t="shared" si="12"/>
        <v>58.22962962962964</v>
      </c>
      <c r="R52" s="42"/>
      <c r="S52" s="100"/>
      <c r="T52" s="186">
        <f t="shared" si="8"/>
        <v>96.00999999999999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44.15</v>
      </c>
      <c r="L53" s="110">
        <f>F53-K53</f>
        <v>-43.86</v>
      </c>
      <c r="M53" s="115">
        <f t="shared" si="17"/>
        <v>0.006568516421291053</v>
      </c>
      <c r="N53" s="111">
        <f>E53-жовтень!E53</f>
        <v>0</v>
      </c>
      <c r="O53" s="179">
        <f>F53-жовтень!F53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E54-жовтень!E54</f>
        <v>0</v>
      </c>
      <c r="O54" s="179">
        <f>F54-жовтень!F54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5222.17</v>
      </c>
      <c r="F55" s="171">
        <v>4316.94</v>
      </c>
      <c r="G55" s="36">
        <f t="shared" si="13"/>
        <v>-905.2300000000005</v>
      </c>
      <c r="H55" s="32">
        <f t="shared" si="11"/>
        <v>82.66563516698996</v>
      </c>
      <c r="I55" s="110">
        <f t="shared" si="14"/>
        <v>-1707.0600000000004</v>
      </c>
      <c r="J55" s="110">
        <f t="shared" si="16"/>
        <v>71.66235059760956</v>
      </c>
      <c r="K55" s="110">
        <v>5698.8</v>
      </c>
      <c r="L55" s="110">
        <f>F55-K55</f>
        <v>-1381.8600000000006</v>
      </c>
      <c r="M55" s="115">
        <f t="shared" si="17"/>
        <v>0.7575173720783321</v>
      </c>
      <c r="N55" s="111">
        <f>E55-жовтень!E55</f>
        <v>500</v>
      </c>
      <c r="O55" s="179">
        <f>F55-жовтень!F55</f>
        <v>9.019999999999527</v>
      </c>
      <c r="P55" s="112">
        <f t="shared" si="15"/>
        <v>-490.9800000000005</v>
      </c>
      <c r="Q55" s="132">
        <f t="shared" si="12"/>
        <v>1.8039999999999052</v>
      </c>
      <c r="R55" s="42"/>
      <c r="S55" s="100"/>
      <c r="T55" s="186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E56-жовтень!E56</f>
        <v>0</v>
      </c>
      <c r="O56" s="208">
        <f>F56-жовтень!F56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5137.98</v>
      </c>
      <c r="F57" s="196">
        <v>5928.48</v>
      </c>
      <c r="G57" s="202">
        <f t="shared" si="13"/>
        <v>790.5</v>
      </c>
      <c r="H57" s="204">
        <f t="shared" si="11"/>
        <v>115.3854238436117</v>
      </c>
      <c r="I57" s="205">
        <f t="shared" si="14"/>
        <v>778.4799999999996</v>
      </c>
      <c r="J57" s="205">
        <f t="shared" si="16"/>
        <v>115.11611650485436</v>
      </c>
      <c r="K57" s="205">
        <v>4367.82</v>
      </c>
      <c r="L57" s="205">
        <f aca="true" t="shared" si="18" ref="L57:L63">F57-K57</f>
        <v>1560.6599999999999</v>
      </c>
      <c r="M57" s="266">
        <f t="shared" si="17"/>
        <v>1.3573086803027596</v>
      </c>
      <c r="N57" s="204">
        <f>E57-жовтень!E57</f>
        <v>60</v>
      </c>
      <c r="O57" s="208">
        <f>F57-жовтень!F57</f>
        <v>390.0199999999995</v>
      </c>
      <c r="P57" s="207">
        <f t="shared" si="15"/>
        <v>330.0199999999995</v>
      </c>
      <c r="Q57" s="205">
        <f t="shared" si="12"/>
        <v>650.0333333333326</v>
      </c>
      <c r="R57" s="42"/>
      <c r="S57" s="100"/>
      <c r="T57" s="186">
        <f t="shared" si="8"/>
        <v>12.020000000000437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E58-жовтень!E58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1255.32</v>
      </c>
      <c r="G59" s="202"/>
      <c r="H59" s="204"/>
      <c r="I59" s="205"/>
      <c r="J59" s="205"/>
      <c r="K59" s="206">
        <v>1141.97</v>
      </c>
      <c r="L59" s="205">
        <f t="shared" si="18"/>
        <v>113.34999999999991</v>
      </c>
      <c r="M59" s="266">
        <f t="shared" si="17"/>
        <v>1.0992582992547963</v>
      </c>
      <c r="N59" s="204"/>
      <c r="O59" s="220">
        <f>F59-жовтень!F59</f>
        <v>118.45000000000005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E61-жовтень!E61</f>
        <v>0</v>
      </c>
      <c r="O61" s="208">
        <f>F61-жовтень!F61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23.7</v>
      </c>
      <c r="F62" s="196">
        <v>13.52</v>
      </c>
      <c r="G62" s="202">
        <f t="shared" si="13"/>
        <v>-10.18</v>
      </c>
      <c r="H62" s="204">
        <f t="shared" si="11"/>
        <v>57.04641350210971</v>
      </c>
      <c r="I62" s="205">
        <f t="shared" si="14"/>
        <v>-16.48</v>
      </c>
      <c r="J62" s="205">
        <f t="shared" si="16"/>
        <v>45.06666666666666</v>
      </c>
      <c r="K62" s="205">
        <v>28.08</v>
      </c>
      <c r="L62" s="205">
        <f t="shared" si="18"/>
        <v>-14.559999999999999</v>
      </c>
      <c r="M62" s="266">
        <f t="shared" si="17"/>
        <v>0.4814814814814815</v>
      </c>
      <c r="N62" s="204">
        <f>E62-жовтень!E62</f>
        <v>2.3000000000000007</v>
      </c>
      <c r="O62" s="208">
        <f>F62-жовтень!F62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6.300000000000001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0.54</v>
      </c>
      <c r="L63" s="205">
        <f t="shared" si="18"/>
        <v>0.48</v>
      </c>
      <c r="M63" s="266">
        <f t="shared" si="17"/>
        <v>1.8888888888888888</v>
      </c>
      <c r="N63" s="204">
        <f>E63-жовтень!E63</f>
        <v>0</v>
      </c>
      <c r="O63" s="208">
        <f>F63-жовтень!F63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943629.7799999999</v>
      </c>
      <c r="F64" s="191">
        <f>F8+F38+F62+F63</f>
        <v>941199.7800000001</v>
      </c>
      <c r="G64" s="191">
        <f>F64-E64</f>
        <v>-2429.999999999767</v>
      </c>
      <c r="H64" s="192">
        <f>F64/E64*100</f>
        <v>99.74248375247338</v>
      </c>
      <c r="I64" s="193">
        <f>F64-D64</f>
        <v>-77744.94999999995</v>
      </c>
      <c r="J64" s="193">
        <f>F64/D64*100</f>
        <v>92.37005229910753</v>
      </c>
      <c r="K64" s="193">
        <v>650580.27</v>
      </c>
      <c r="L64" s="193">
        <f>F64-K64</f>
        <v>290619.5100000001</v>
      </c>
      <c r="M64" s="267">
        <f>F64/K64</f>
        <v>1.4467081517857898</v>
      </c>
      <c r="N64" s="191">
        <f>N8+N38+N62+N63</f>
        <v>92637.22000000002</v>
      </c>
      <c r="O64" s="191">
        <f>O8+O38+O62+O63</f>
        <v>88548.75000000004</v>
      </c>
      <c r="P64" s="195">
        <f>O64-N64</f>
        <v>-4088.469999999972</v>
      </c>
      <c r="Q64" s="193">
        <f>O64/N64*100</f>
        <v>95.5865795627287</v>
      </c>
      <c r="R64" s="28">
        <f>O64-34768</f>
        <v>53780.750000000044</v>
      </c>
      <c r="S64" s="128">
        <f>O64/34768</f>
        <v>2.5468462379199277</v>
      </c>
      <c r="T64" s="186">
        <f t="shared" si="8"/>
        <v>75314.95000000019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F69-жовтень!F69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-55.72</v>
      </c>
      <c r="L70" s="207">
        <f>F70-K70</f>
        <v>45.53</v>
      </c>
      <c r="M70" s="254">
        <f>F70/K70</f>
        <v>0.18287867910983488</v>
      </c>
      <c r="N70" s="204"/>
      <c r="O70" s="223">
        <f>F70-жовтень!F70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-51.72</v>
      </c>
      <c r="L71" s="228">
        <f>F71-K71</f>
        <v>41.54</v>
      </c>
      <c r="M71" s="260">
        <f>F71/K71</f>
        <v>0.1968290796597061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4200</v>
      </c>
      <c r="F73" s="222">
        <v>2260.63</v>
      </c>
      <c r="G73" s="202">
        <f aca="true" t="shared" si="19" ref="G73:G83">F73-E73</f>
        <v>-1939.37</v>
      </c>
      <c r="H73" s="204"/>
      <c r="I73" s="207">
        <f aca="true" t="shared" si="20" ref="I73:I83">F73-D73</f>
        <v>-12939.369999999999</v>
      </c>
      <c r="J73" s="207">
        <f>F73/D73*100</f>
        <v>14.872565789473684</v>
      </c>
      <c r="K73" s="207">
        <v>619</v>
      </c>
      <c r="L73" s="207">
        <f aca="true" t="shared" si="21" ref="L73:L83">F73-K73</f>
        <v>1641.63</v>
      </c>
      <c r="M73" s="254">
        <f>F73/K73</f>
        <v>3.652067851373183</v>
      </c>
      <c r="N73" s="204">
        <f>E73-жовтень!E73</f>
        <v>1500</v>
      </c>
      <c r="O73" s="208">
        <f>F73-жовтень!F73</f>
        <v>208.4300000000003</v>
      </c>
      <c r="P73" s="207">
        <f aca="true" t="shared" si="22" ref="P73:P86">O73-N73</f>
        <v>-1291.5699999999997</v>
      </c>
      <c r="Q73" s="207">
        <f>O73/N73*100</f>
        <v>13.895333333333355</v>
      </c>
      <c r="R73" s="43"/>
      <c r="S73" s="103"/>
      <c r="T73" s="186">
        <f t="shared" si="8"/>
        <v>11000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f>5554.31+4700</f>
        <v>10254.310000000001</v>
      </c>
      <c r="F74" s="222">
        <v>7293.63</v>
      </c>
      <c r="G74" s="202">
        <f t="shared" si="19"/>
        <v>-2960.680000000001</v>
      </c>
      <c r="H74" s="204">
        <f>F74/E74*100</f>
        <v>71.12745762513518</v>
      </c>
      <c r="I74" s="207">
        <f t="shared" si="20"/>
        <v>-9865.369999999999</v>
      </c>
      <c r="J74" s="207">
        <f>F74/D74*100</f>
        <v>42.50614837694505</v>
      </c>
      <c r="K74" s="207">
        <v>8212.99</v>
      </c>
      <c r="L74" s="207">
        <f t="shared" si="21"/>
        <v>-919.3599999999997</v>
      </c>
      <c r="M74" s="254">
        <f>F74/K74</f>
        <v>0.8880602557655617</v>
      </c>
      <c r="N74" s="204">
        <f>E74-жовтень!E74</f>
        <v>5101.4000000000015</v>
      </c>
      <c r="O74" s="208">
        <f>F74-жовтень!F74</f>
        <v>52.13000000000011</v>
      </c>
      <c r="P74" s="207">
        <f t="shared" si="22"/>
        <v>-5049.270000000001</v>
      </c>
      <c r="Q74" s="207">
        <f>O74/N74*100</f>
        <v>1.0218763476692692</v>
      </c>
      <c r="R74" s="43"/>
      <c r="S74" s="103"/>
      <c r="T74" s="186">
        <f aca="true" t="shared" si="23" ref="T74:T90">D74-E74</f>
        <v>6904.689999999999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f>4500.85+4000</f>
        <v>8500.85</v>
      </c>
      <c r="F75" s="222">
        <v>12375.13</v>
      </c>
      <c r="G75" s="202">
        <f t="shared" si="19"/>
        <v>3874.279999999999</v>
      </c>
      <c r="H75" s="204">
        <f>F75/E75*100</f>
        <v>145.5752071851638</v>
      </c>
      <c r="I75" s="207">
        <f t="shared" si="20"/>
        <v>-3624.870000000001</v>
      </c>
      <c r="J75" s="207">
        <f>F75/D75*100</f>
        <v>77.3445625</v>
      </c>
      <c r="K75" s="207">
        <v>2292.73</v>
      </c>
      <c r="L75" s="207">
        <f t="shared" si="21"/>
        <v>10082.4</v>
      </c>
      <c r="M75" s="254">
        <f>F75/K75</f>
        <v>5.397552263022685</v>
      </c>
      <c r="N75" s="204">
        <f>E75-жовтень!E75</f>
        <v>5500</v>
      </c>
      <c r="O75" s="208">
        <f>F75-жовтень!F75</f>
        <v>128.3799999999992</v>
      </c>
      <c r="P75" s="207">
        <f t="shared" si="22"/>
        <v>-5371.620000000001</v>
      </c>
      <c r="Q75" s="207">
        <f>O75/N75*100</f>
        <v>2.3341818181818037</v>
      </c>
      <c r="R75" s="43"/>
      <c r="S75" s="103"/>
      <c r="T75" s="186">
        <f t="shared" si="23"/>
        <v>7499.15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11</v>
      </c>
      <c r="F76" s="222">
        <v>12</v>
      </c>
      <c r="G76" s="202">
        <f t="shared" si="19"/>
        <v>1</v>
      </c>
      <c r="H76" s="204">
        <f>F76/E76*100</f>
        <v>109.09090909090908</v>
      </c>
      <c r="I76" s="207">
        <f t="shared" si="20"/>
        <v>0</v>
      </c>
      <c r="J76" s="207">
        <f>F76/D76*100</f>
        <v>100</v>
      </c>
      <c r="K76" s="207">
        <v>0</v>
      </c>
      <c r="L76" s="207">
        <f t="shared" si="21"/>
        <v>12</v>
      </c>
      <c r="M76" s="254"/>
      <c r="N76" s="204">
        <f>E76-жовтень!E76</f>
        <v>1</v>
      </c>
      <c r="O76" s="208">
        <f>F76-жовтень!F76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1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22966.160000000003</v>
      </c>
      <c r="F77" s="225">
        <f>F73+F74+F75+F76</f>
        <v>21941.39</v>
      </c>
      <c r="G77" s="226">
        <f t="shared" si="19"/>
        <v>-1024.770000000004</v>
      </c>
      <c r="H77" s="227">
        <f>F77/E77*100</f>
        <v>95.53791317312078</v>
      </c>
      <c r="I77" s="228">
        <f t="shared" si="20"/>
        <v>-26429.61</v>
      </c>
      <c r="J77" s="228">
        <f>F77/D77*100</f>
        <v>45.36062930268136</v>
      </c>
      <c r="K77" s="228">
        <v>11124.73</v>
      </c>
      <c r="L77" s="228">
        <f t="shared" si="21"/>
        <v>10816.66</v>
      </c>
      <c r="M77" s="260">
        <f>F77/K77</f>
        <v>1.97230764252256</v>
      </c>
      <c r="N77" s="226">
        <f>N73+N74+N75+N76</f>
        <v>12102.400000000001</v>
      </c>
      <c r="O77" s="230">
        <f>O73+O74+O75+O76</f>
        <v>389.9399999999996</v>
      </c>
      <c r="P77" s="228">
        <f t="shared" si="22"/>
        <v>-11712.460000000003</v>
      </c>
      <c r="Q77" s="228">
        <f>O77/N77*100</f>
        <v>3.2220055526176585</v>
      </c>
      <c r="R77" s="44"/>
      <c r="S77" s="129"/>
      <c r="T77" s="186">
        <f t="shared" si="23"/>
        <v>25404.839999999997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53.94</v>
      </c>
      <c r="G78" s="202">
        <f t="shared" si="19"/>
        <v>53.94</v>
      </c>
      <c r="H78" s="204"/>
      <c r="I78" s="207">
        <f t="shared" si="20"/>
        <v>52.94</v>
      </c>
      <c r="J78" s="207"/>
      <c r="K78" s="207">
        <v>0.35</v>
      </c>
      <c r="L78" s="207">
        <f t="shared" si="21"/>
        <v>53.589999999999996</v>
      </c>
      <c r="M78" s="254">
        <f>F78/K78</f>
        <v>154.11428571428573</v>
      </c>
      <c r="N78" s="204">
        <f>E78-жовтень!E78</f>
        <v>0</v>
      </c>
      <c r="O78" s="208">
        <f>F78-жовтень!F78</f>
        <v>17.989999999999995</v>
      </c>
      <c r="P78" s="207">
        <f t="shared" si="22"/>
        <v>17.989999999999995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E79-жовтень!E79</f>
        <v>0</v>
      </c>
      <c r="O79" s="208">
        <f>F79-жовтень!F79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9498.7</v>
      </c>
      <c r="F80" s="222">
        <v>8350.66</v>
      </c>
      <c r="G80" s="202">
        <f t="shared" si="19"/>
        <v>-1148.0400000000009</v>
      </c>
      <c r="H80" s="204">
        <f>F80/E80*100</f>
        <v>87.91371450830113</v>
      </c>
      <c r="I80" s="207">
        <f t="shared" si="20"/>
        <v>-1149.3400000000001</v>
      </c>
      <c r="J80" s="207">
        <f>F80/D80*100</f>
        <v>87.90168421052631</v>
      </c>
      <c r="K80" s="207">
        <v>0</v>
      </c>
      <c r="L80" s="207">
        <f t="shared" si="21"/>
        <v>8350.66</v>
      </c>
      <c r="M80" s="254"/>
      <c r="N80" s="204">
        <f>E80-жовтень!E80</f>
        <v>1873.4000000000005</v>
      </c>
      <c r="O80" s="208">
        <f>F80-жовтень!F80</f>
        <v>1514.5900000000001</v>
      </c>
      <c r="P80" s="207">
        <f>O80-N80</f>
        <v>-358.8100000000004</v>
      </c>
      <c r="Q80" s="231">
        <f>O80/N80*100</f>
        <v>80.84712287818937</v>
      </c>
      <c r="R80" s="46"/>
      <c r="S80" s="105"/>
      <c r="T80" s="186">
        <f t="shared" si="23"/>
        <v>1.2999999999992724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1.36</v>
      </c>
      <c r="G81" s="202">
        <f t="shared" si="19"/>
        <v>1.36</v>
      </c>
      <c r="H81" s="204"/>
      <c r="I81" s="207">
        <f t="shared" si="20"/>
        <v>1.36</v>
      </c>
      <c r="J81" s="207"/>
      <c r="K81" s="207">
        <v>1.31</v>
      </c>
      <c r="L81" s="207">
        <f t="shared" si="21"/>
        <v>0.050000000000000044</v>
      </c>
      <c r="M81" s="254">
        <f>F81/K81</f>
        <v>1.0381679389312977</v>
      </c>
      <c r="N81" s="204">
        <f>E81-жовтень!E81</f>
        <v>0</v>
      </c>
      <c r="O81" s="208">
        <f>F81-жовтень!F81</f>
        <v>0.020000000000000018</v>
      </c>
      <c r="P81" s="207">
        <f t="shared" si="22"/>
        <v>0.020000000000000018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9498.7</v>
      </c>
      <c r="F82" s="225">
        <f>F78+F81+F79+F80</f>
        <v>8405.96</v>
      </c>
      <c r="G82" s="224">
        <f>G78+G81+G79+G80</f>
        <v>-1092.740000000001</v>
      </c>
      <c r="H82" s="227">
        <f>F82/E82*100</f>
        <v>88.49589943887057</v>
      </c>
      <c r="I82" s="228">
        <f t="shared" si="20"/>
        <v>-1095.0400000000009</v>
      </c>
      <c r="J82" s="228">
        <f>F82/D82*100</f>
        <v>88.47447637090832</v>
      </c>
      <c r="K82" s="228">
        <v>1.66</v>
      </c>
      <c r="L82" s="228">
        <f t="shared" si="21"/>
        <v>8404.3</v>
      </c>
      <c r="M82" s="268">
        <f>F82/K82</f>
        <v>5063.831325301205</v>
      </c>
      <c r="N82" s="226">
        <f>N78+N81+N79+N80</f>
        <v>1873.4000000000005</v>
      </c>
      <c r="O82" s="230">
        <f>O78+O81+O79+O80</f>
        <v>1532.6000000000001</v>
      </c>
      <c r="P82" s="226">
        <f>P78+P81+P79+P80</f>
        <v>-340.8000000000004</v>
      </c>
      <c r="Q82" s="228">
        <f>O82/N82*100</f>
        <v>81.80847656667021</v>
      </c>
      <c r="R82" s="44"/>
      <c r="S82" s="102"/>
      <c r="T82" s="186">
        <f t="shared" si="23"/>
        <v>2.2999999999992724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30.36</v>
      </c>
      <c r="F83" s="222">
        <v>27.79</v>
      </c>
      <c r="G83" s="202">
        <f t="shared" si="19"/>
        <v>-2.5700000000000003</v>
      </c>
      <c r="H83" s="204">
        <f>F83/E83*100</f>
        <v>91.53491436100131</v>
      </c>
      <c r="I83" s="207">
        <f t="shared" si="20"/>
        <v>-15.21</v>
      </c>
      <c r="J83" s="207">
        <f>F83/D83*100</f>
        <v>64.62790697674419</v>
      </c>
      <c r="K83" s="207">
        <v>30.61</v>
      </c>
      <c r="L83" s="207">
        <f t="shared" si="21"/>
        <v>-2.8200000000000003</v>
      </c>
      <c r="M83" s="254">
        <f>F83/K83</f>
        <v>0.9078732440378962</v>
      </c>
      <c r="N83" s="204">
        <f>E83-жовтень!E83</f>
        <v>0.5899999999999999</v>
      </c>
      <c r="O83" s="208">
        <f>F83-жовтень!F83</f>
        <v>0.3200000000000003</v>
      </c>
      <c r="P83" s="207">
        <f t="shared" si="22"/>
        <v>-0.2699999999999996</v>
      </c>
      <c r="Q83" s="207">
        <f>O83/N83</f>
        <v>0.5423728813559329</v>
      </c>
      <c r="R83" s="43"/>
      <c r="S83" s="103"/>
      <c r="T83" s="186">
        <f t="shared" si="23"/>
        <v>12.64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32495.220000000005</v>
      </c>
      <c r="F85" s="232">
        <f>F71+F83+F77+F82+F84</f>
        <v>30364.96</v>
      </c>
      <c r="G85" s="233">
        <f>F85-E85</f>
        <v>-2130.2600000000057</v>
      </c>
      <c r="H85" s="234">
        <f>F85/E85*100</f>
        <v>93.44438966715718</v>
      </c>
      <c r="I85" s="235">
        <f>F85-D85</f>
        <v>-27550.04</v>
      </c>
      <c r="J85" s="235">
        <f>F85/D85*100</f>
        <v>52.430216696883356</v>
      </c>
      <c r="K85" s="235">
        <v>11101.47</v>
      </c>
      <c r="L85" s="235">
        <f>F85-K85</f>
        <v>19263.489999999998</v>
      </c>
      <c r="M85" s="269">
        <f>F85/K85</f>
        <v>2.735219750177229</v>
      </c>
      <c r="N85" s="232">
        <f>N71+N83+N77+N82</f>
        <v>13976.390000000003</v>
      </c>
      <c r="O85" s="232">
        <f>O71+O83+O77+O82+O84</f>
        <v>1922.8599999999997</v>
      </c>
      <c r="P85" s="235">
        <f t="shared" si="22"/>
        <v>-12053.530000000002</v>
      </c>
      <c r="Q85" s="235">
        <f>O85/N85*100</f>
        <v>13.757916028387868</v>
      </c>
      <c r="R85" s="28">
        <f>O85-8104.96</f>
        <v>-6182.1</v>
      </c>
      <c r="S85" s="101">
        <f>O85/8104.96</f>
        <v>0.2372448475994946</v>
      </c>
      <c r="T85" s="186">
        <f t="shared" si="23"/>
        <v>25419.779999999995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976124.9999999999</v>
      </c>
      <c r="F86" s="232">
        <f>F64+F85</f>
        <v>971564.7400000001</v>
      </c>
      <c r="G86" s="233">
        <f>F86-E86</f>
        <v>-4560.2599999997765</v>
      </c>
      <c r="H86" s="234">
        <f>F86/E86*100</f>
        <v>99.53282007939559</v>
      </c>
      <c r="I86" s="235">
        <f>F86-D86</f>
        <v>-105294.98999999987</v>
      </c>
      <c r="J86" s="235">
        <f>F86/D86*100</f>
        <v>90.22203291045159</v>
      </c>
      <c r="K86" s="235">
        <f>K64+K85</f>
        <v>661681.74</v>
      </c>
      <c r="L86" s="235">
        <f>F86-K86</f>
        <v>309883.0000000001</v>
      </c>
      <c r="M86" s="269">
        <f>F86/K86</f>
        <v>1.468326358832269</v>
      </c>
      <c r="N86" s="233">
        <f>N64+N85</f>
        <v>106613.61000000002</v>
      </c>
      <c r="O86" s="233">
        <f>O64+O85</f>
        <v>90471.61000000004</v>
      </c>
      <c r="P86" s="235">
        <f t="shared" si="22"/>
        <v>-16141.99999999997</v>
      </c>
      <c r="Q86" s="235">
        <f>O86/N86*100</f>
        <v>84.8593439430482</v>
      </c>
      <c r="R86" s="28">
        <f>O86-42872.96</f>
        <v>47598.650000000045</v>
      </c>
      <c r="S86" s="101">
        <f>O86/42872.96</f>
        <v>2.110225419471855</v>
      </c>
      <c r="T86" s="186">
        <f t="shared" si="23"/>
        <v>100734.7300000001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4088.469999999972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42703</v>
      </c>
      <c r="D90" s="31">
        <v>11827.8</v>
      </c>
      <c r="G90" s="4" t="s">
        <v>59</v>
      </c>
      <c r="O90" s="424"/>
      <c r="P90" s="424"/>
      <c r="T90" s="186">
        <f t="shared" si="23"/>
        <v>11827.8</v>
      </c>
    </row>
    <row r="91" spans="3:16" ht="15">
      <c r="C91" s="87">
        <v>42702</v>
      </c>
      <c r="D91" s="31">
        <v>7211.9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42699</v>
      </c>
      <c r="D92" s="31">
        <v>2381.6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972.23779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980</v>
      </c>
      <c r="F97" s="247">
        <f>F45+F48+F49</f>
        <v>923.98</v>
      </c>
      <c r="G97" s="73">
        <f>G45+G48+G49</f>
        <v>-56.01999999999995</v>
      </c>
      <c r="H97" s="74"/>
      <c r="I97" s="74"/>
      <c r="N97" s="31">
        <f>N45+N48+N49</f>
        <v>22</v>
      </c>
      <c r="O97" s="246">
        <f>O45+O48+O49</f>
        <v>129.47000000000006</v>
      </c>
      <c r="P97" s="31">
        <f>P45+P48+P49</f>
        <v>107.47000000000007</v>
      </c>
    </row>
    <row r="98" spans="4:16" ht="15" hidden="1">
      <c r="D98" s="83"/>
      <c r="I98" s="31"/>
      <c r="O98" s="419"/>
      <c r="P98" s="419"/>
    </row>
    <row r="99" spans="2:17" ht="15" hidden="1">
      <c r="B99" s="4" t="s">
        <v>222</v>
      </c>
      <c r="D99" s="31">
        <f>D9+D15+D17+D18+D19+D20+D39+D42+D56+D62+D63</f>
        <v>957512.2500000001</v>
      </c>
      <c r="E99" s="31">
        <f>E9+E15+E17+E18+E19+E20+E39+E42+E56+E62+E63</f>
        <v>884843.9199999999</v>
      </c>
      <c r="F99" s="414">
        <f>F9+F15+F17+F18+F19+F20+F39+F42+F56+F62+F63</f>
        <v>880770.11</v>
      </c>
      <c r="G99" s="31">
        <f>F99-E99</f>
        <v>-4073.8099999999395</v>
      </c>
      <c r="H99" s="415">
        <f>F99/E99</f>
        <v>0.9953960128923077</v>
      </c>
      <c r="I99" s="31">
        <f>F99-D99</f>
        <v>-76742.14000000013</v>
      </c>
      <c r="J99" s="415">
        <f>F99/D99</f>
        <v>0.919852576298632</v>
      </c>
      <c r="N99" s="31">
        <f>N9+N15+N17+N18+N19+N20+N39+N42+N44+N56+N62+N63</f>
        <v>88760.22000000002</v>
      </c>
      <c r="O99" s="414">
        <f>O9+O15+O17+O18+O19+O20+O39+O42+O44+O56+O62+O63</f>
        <v>82686.84000000004</v>
      </c>
      <c r="P99" s="31">
        <f>O99-N99</f>
        <v>-6073.379999999976</v>
      </c>
      <c r="Q99" s="415">
        <f>O99/N99</f>
        <v>0.9315754287224618</v>
      </c>
    </row>
    <row r="100" spans="2:17" ht="15" hidden="1">
      <c r="B100" s="4" t="s">
        <v>223</v>
      </c>
      <c r="D100" s="31">
        <f>D40+D41+D43+D45+D47+D48+D49+D50+D51+D57+D61+D44</f>
        <v>61432.48</v>
      </c>
      <c r="E100" s="31">
        <f>E40+E41+E43+E45+E47+E48+E49+E50+E51+E57+E61+E44</f>
        <v>58785.86</v>
      </c>
      <c r="F100" s="414">
        <f>F40+F41+F43+F45+F47+F48+F49+F50+F51+F57+F61+F44</f>
        <v>60429.67000000001</v>
      </c>
      <c r="G100" s="31">
        <f>G40+G41+G43+G45+G47+G48+G49+G50+G51+G57+G61+G44</f>
        <v>1643.8100000000004</v>
      </c>
      <c r="H100" s="415">
        <f>F100/E100</f>
        <v>1.0279626767389303</v>
      </c>
      <c r="I100" s="31">
        <f>I40+I41+I43+I45+I47+I48+I49+I50+I51+I57+I61+I44</f>
        <v>-1002.8100000000003</v>
      </c>
      <c r="J100" s="415">
        <f>F100/D100</f>
        <v>0.9836762246941685</v>
      </c>
      <c r="K100" s="31">
        <f aca="true" t="shared" si="24" ref="K100:P100">K40+K41+K43+K45+K47+K48+K49+K50+K51+K57+K61+K44</f>
        <v>41736.590000000004</v>
      </c>
      <c r="L100" s="31">
        <f t="shared" si="24"/>
        <v>18693.079999999998</v>
      </c>
      <c r="M100" s="31">
        <f t="shared" si="24"/>
        <v>12.918213534367055</v>
      </c>
      <c r="N100" s="31">
        <f t="shared" si="24"/>
        <v>3877</v>
      </c>
      <c r="O100" s="414">
        <f t="shared" si="24"/>
        <v>5899.330000000002</v>
      </c>
      <c r="P100" s="31">
        <f t="shared" si="24"/>
        <v>1984.9100000000017</v>
      </c>
      <c r="Q100" s="415">
        <f>O100/N100</f>
        <v>1.5216223884446742</v>
      </c>
    </row>
    <row r="101" spans="2:17" ht="15" hidden="1">
      <c r="B101" s="4" t="s">
        <v>224</v>
      </c>
      <c r="D101" s="31">
        <f>SUM(D99:D100)</f>
        <v>1018944.7300000001</v>
      </c>
      <c r="E101" s="31">
        <f aca="true" t="shared" si="25" ref="E101:P101">SUM(E99:E100)</f>
        <v>943629.7799999999</v>
      </c>
      <c r="F101" s="414">
        <f t="shared" si="25"/>
        <v>941199.78</v>
      </c>
      <c r="G101" s="31">
        <f t="shared" si="25"/>
        <v>-2429.999999999939</v>
      </c>
      <c r="H101" s="415">
        <f>F101/E101</f>
        <v>0.9974248375247337</v>
      </c>
      <c r="I101" s="31">
        <f t="shared" si="25"/>
        <v>-77744.95000000013</v>
      </c>
      <c r="J101" s="415">
        <f>F101/D101</f>
        <v>0.9237005229910752</v>
      </c>
      <c r="K101" s="31">
        <f t="shared" si="25"/>
        <v>41736.590000000004</v>
      </c>
      <c r="L101" s="31">
        <f t="shared" si="25"/>
        <v>18693.079999999998</v>
      </c>
      <c r="M101" s="31">
        <f t="shared" si="25"/>
        <v>12.918213534367055</v>
      </c>
      <c r="N101" s="31">
        <f t="shared" si="25"/>
        <v>92637.22000000002</v>
      </c>
      <c r="O101" s="414">
        <f t="shared" si="25"/>
        <v>88586.17000000004</v>
      </c>
      <c r="P101" s="31">
        <f t="shared" si="25"/>
        <v>-4088.469999999974</v>
      </c>
      <c r="Q101" s="415">
        <f>O101/N101</f>
        <v>0.9562697369372702</v>
      </c>
    </row>
    <row r="102" spans="4:21" ht="15" hidden="1">
      <c r="D102" s="31">
        <f>D64-D101</f>
        <v>0</v>
      </c>
      <c r="E102" s="31">
        <f aca="true" t="shared" si="26" ref="E102:U102">E64-E101</f>
        <v>0</v>
      </c>
      <c r="F102" s="31">
        <f t="shared" si="26"/>
        <v>0</v>
      </c>
      <c r="G102" s="31">
        <f t="shared" si="26"/>
        <v>1.7189449863508344E-10</v>
      </c>
      <c r="H102" s="415"/>
      <c r="I102" s="31">
        <f t="shared" si="26"/>
        <v>1.7462298274040222E-10</v>
      </c>
      <c r="J102" s="415"/>
      <c r="K102" s="31">
        <f t="shared" si="26"/>
        <v>608843.68</v>
      </c>
      <c r="L102" s="31">
        <f t="shared" si="26"/>
        <v>271926.4300000001</v>
      </c>
      <c r="M102" s="31">
        <f t="shared" si="26"/>
        <v>-11.471505382581265</v>
      </c>
      <c r="N102" s="31">
        <f t="shared" si="26"/>
        <v>0</v>
      </c>
      <c r="O102" s="31">
        <f t="shared" si="26"/>
        <v>-37.419999999998254</v>
      </c>
      <c r="P102" s="31">
        <f t="shared" si="26"/>
        <v>0</v>
      </c>
      <c r="Q102" s="31"/>
      <c r="R102" s="31">
        <f t="shared" si="26"/>
        <v>53780.750000000044</v>
      </c>
      <c r="S102" s="31">
        <f t="shared" si="26"/>
        <v>2.5468462379199277</v>
      </c>
      <c r="T102" s="31">
        <f t="shared" si="26"/>
        <v>75314.95000000019</v>
      </c>
      <c r="U102" s="31">
        <f t="shared" si="26"/>
        <v>0</v>
      </c>
    </row>
    <row r="103" ht="15">
      <c r="E103" s="4" t="s">
        <v>59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.11811023622047245" top="0.1968503937007874" bottom="0.15748031496062992" header="0" footer="0"/>
  <pageSetup fitToHeight="2" fitToWidth="1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32" sqref="E3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139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128</v>
      </c>
      <c r="N3" s="450" t="s">
        <v>119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127</v>
      </c>
      <c r="F4" s="456" t="s">
        <v>34</v>
      </c>
      <c r="G4" s="426" t="s">
        <v>116</v>
      </c>
      <c r="H4" s="435" t="s">
        <v>117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140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118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24"/>
      <c r="O84" s="424"/>
    </row>
    <row r="85" spans="3:15" ht="15">
      <c r="C85" s="87">
        <v>42426</v>
      </c>
      <c r="D85" s="31">
        <v>6256.2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42425</v>
      </c>
      <c r="D86" s="31">
        <v>3536.9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505.3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27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135</v>
      </c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132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129</v>
      </c>
      <c r="F4" s="456" t="s">
        <v>34</v>
      </c>
      <c r="G4" s="426" t="s">
        <v>130</v>
      </c>
      <c r="H4" s="435" t="s">
        <v>131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60" t="s">
        <v>133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92.2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134</v>
      </c>
      <c r="L5" s="431"/>
      <c r="M5" s="436"/>
      <c r="N5" s="461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24"/>
      <c r="O84" s="424"/>
    </row>
    <row r="85" spans="3:15" ht="15">
      <c r="C85" s="87">
        <v>42397</v>
      </c>
      <c r="D85" s="31">
        <v>8685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42396</v>
      </c>
      <c r="D86" s="31">
        <v>4820.3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v>300.92</v>
      </c>
      <c r="E88" s="74"/>
      <c r="F88" s="140"/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39" t="s">
        <v>114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 t="s">
        <v>136</v>
      </c>
      <c r="C3" s="444" t="s">
        <v>0</v>
      </c>
      <c r="D3" s="445" t="s">
        <v>115</v>
      </c>
      <c r="E3" s="34"/>
      <c r="F3" s="446" t="s">
        <v>26</v>
      </c>
      <c r="G3" s="447"/>
      <c r="H3" s="447"/>
      <c r="I3" s="447"/>
      <c r="J3" s="448"/>
      <c r="K3" s="89"/>
      <c r="L3" s="89"/>
      <c r="M3" s="459" t="s">
        <v>107</v>
      </c>
      <c r="N3" s="450" t="s">
        <v>66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104</v>
      </c>
      <c r="F4" s="462" t="s">
        <v>34</v>
      </c>
      <c r="G4" s="426" t="s">
        <v>109</v>
      </c>
      <c r="H4" s="435" t="s">
        <v>110</v>
      </c>
      <c r="I4" s="426" t="s">
        <v>105</v>
      </c>
      <c r="J4" s="435" t="s">
        <v>106</v>
      </c>
      <c r="K4" s="91" t="s">
        <v>65</v>
      </c>
      <c r="L4" s="96" t="s">
        <v>64</v>
      </c>
      <c r="M4" s="435"/>
      <c r="N4" s="460" t="s">
        <v>103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6.5" customHeight="1">
      <c r="A5" s="442"/>
      <c r="B5" s="443"/>
      <c r="C5" s="444"/>
      <c r="D5" s="445"/>
      <c r="E5" s="452"/>
      <c r="F5" s="463"/>
      <c r="G5" s="427"/>
      <c r="H5" s="436"/>
      <c r="I5" s="427"/>
      <c r="J5" s="436"/>
      <c r="K5" s="429" t="s">
        <v>108</v>
      </c>
      <c r="L5" s="431"/>
      <c r="M5" s="436"/>
      <c r="N5" s="461"/>
      <c r="O5" s="427"/>
      <c r="P5" s="428"/>
      <c r="Q5" s="429" t="s">
        <v>126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2"/>
      <c r="H82" s="432"/>
      <c r="I82" s="432"/>
      <c r="J82" s="432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24"/>
      <c r="O83" s="424"/>
    </row>
    <row r="84" spans="3:15" ht="15">
      <c r="C84" s="87">
        <v>42397</v>
      </c>
      <c r="D84" s="31">
        <v>8685</v>
      </c>
      <c r="F84" s="166" t="s">
        <v>59</v>
      </c>
      <c r="G84" s="418"/>
      <c r="H84" s="418"/>
      <c r="I84" s="131"/>
      <c r="J84" s="421"/>
      <c r="K84" s="421"/>
      <c r="L84" s="421"/>
      <c r="M84" s="421"/>
      <c r="N84" s="424"/>
      <c r="O84" s="424"/>
    </row>
    <row r="85" spans="3:15" ht="15.75" customHeight="1">
      <c r="C85" s="87">
        <v>42396</v>
      </c>
      <c r="D85" s="31">
        <v>4820.3</v>
      </c>
      <c r="F85" s="167"/>
      <c r="G85" s="418"/>
      <c r="H85" s="418"/>
      <c r="I85" s="131"/>
      <c r="J85" s="425"/>
      <c r="K85" s="425"/>
      <c r="L85" s="425"/>
      <c r="M85" s="425"/>
      <c r="N85" s="424"/>
      <c r="O85" s="424"/>
    </row>
    <row r="86" spans="3:13" ht="15.75" customHeight="1">
      <c r="C86" s="87"/>
      <c r="F86" s="167"/>
      <c r="G86" s="420"/>
      <c r="H86" s="420"/>
      <c r="I86" s="139"/>
      <c r="J86" s="421"/>
      <c r="K86" s="421"/>
      <c r="L86" s="421"/>
      <c r="M86" s="421"/>
    </row>
    <row r="87" spans="2:13" ht="18.75" customHeight="1">
      <c r="B87" s="422" t="s">
        <v>57</v>
      </c>
      <c r="C87" s="423"/>
      <c r="D87" s="148">
        <v>300.92</v>
      </c>
      <c r="E87" s="74"/>
      <c r="F87" s="168"/>
      <c r="G87" s="418"/>
      <c r="H87" s="418"/>
      <c r="I87" s="141"/>
      <c r="J87" s="421"/>
      <c r="K87" s="421"/>
      <c r="L87" s="421"/>
      <c r="M87" s="421"/>
    </row>
    <row r="88" spans="6:12" ht="9.75" customHeight="1">
      <c r="F88" s="167"/>
      <c r="G88" s="418"/>
      <c r="H88" s="418"/>
      <c r="I88" s="73"/>
      <c r="J88" s="74"/>
      <c r="K88" s="74"/>
      <c r="L88" s="74"/>
    </row>
    <row r="89" spans="2:12" ht="22.5" customHeight="1" hidden="1">
      <c r="B89" s="416" t="s">
        <v>60</v>
      </c>
      <c r="C89" s="417"/>
      <c r="D89" s="86">
        <v>0</v>
      </c>
      <c r="E89" s="56" t="s">
        <v>24</v>
      </c>
      <c r="F89" s="167"/>
      <c r="G89" s="418"/>
      <c r="H89" s="418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18"/>
      <c r="O90" s="418"/>
    </row>
    <row r="91" spans="4:15" ht="15">
      <c r="D91" s="83"/>
      <c r="I91" s="31"/>
      <c r="N91" s="419"/>
      <c r="O91" s="419"/>
    </row>
    <row r="92" spans="14:15" ht="15">
      <c r="N92" s="418"/>
      <c r="O92" s="418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214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208</v>
      </c>
      <c r="O3" s="450" t="s">
        <v>209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210</v>
      </c>
      <c r="F4" s="433" t="s">
        <v>34</v>
      </c>
      <c r="G4" s="426" t="s">
        <v>211</v>
      </c>
      <c r="H4" s="435" t="s">
        <v>212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215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213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795675.9299999999</v>
      </c>
      <c r="F8" s="191">
        <f>F9+F15+F18+F19+F20+F37+F17</f>
        <v>797618.76</v>
      </c>
      <c r="G8" s="191">
        <f aca="true" t="shared" si="0" ref="G8:G37">F8-E8</f>
        <v>1942.8300000000745</v>
      </c>
      <c r="H8" s="192">
        <f>F8/E8*100</f>
        <v>100.244173529291</v>
      </c>
      <c r="I8" s="193">
        <f>F8-D8</f>
        <v>-159452.69000000006</v>
      </c>
      <c r="J8" s="193">
        <f>F8/D8*100</f>
        <v>83.33952078499468</v>
      </c>
      <c r="K8" s="191">
        <v>542586.23</v>
      </c>
      <c r="L8" s="191">
        <f aca="true" t="shared" si="1" ref="L8:L51">F8-K8</f>
        <v>255032.53000000003</v>
      </c>
      <c r="M8" s="250">
        <f aca="true" t="shared" si="2" ref="M8:M28">F8/K8</f>
        <v>1.4700313349271692</v>
      </c>
      <c r="N8" s="191">
        <f>N9+N15+N18+N19+N20+N17</f>
        <v>89825.12</v>
      </c>
      <c r="O8" s="191">
        <f>O9+O15+O18+O19+O20+O17</f>
        <v>89580.09000000001</v>
      </c>
      <c r="P8" s="191">
        <f>O8-N8</f>
        <v>-245.02999999998428</v>
      </c>
      <c r="Q8" s="19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429123.67</v>
      </c>
      <c r="F9" s="196">
        <v>431282.79</v>
      </c>
      <c r="G9" s="190">
        <f t="shared" si="0"/>
        <v>2159.1199999999953</v>
      </c>
      <c r="H9" s="197">
        <f>F9/E9*100</f>
        <v>100.50314633075355</v>
      </c>
      <c r="I9" s="198">
        <f>F9-D9</f>
        <v>-99306.21000000002</v>
      </c>
      <c r="J9" s="198">
        <f>F9/D9*100</f>
        <v>81.28377897016334</v>
      </c>
      <c r="K9" s="412">
        <v>296275.33</v>
      </c>
      <c r="L9" s="199">
        <f t="shared" si="1"/>
        <v>135007.45999999996</v>
      </c>
      <c r="M9" s="251">
        <f t="shared" si="2"/>
        <v>1.4556824221577949</v>
      </c>
      <c r="N9" s="197">
        <f>E9-вересень!E9</f>
        <v>50045</v>
      </c>
      <c r="O9" s="200">
        <f>F9-вересень!F9</f>
        <v>45956.380000000005</v>
      </c>
      <c r="P9" s="201">
        <f>O9-N9</f>
        <v>-4088.6199999999953</v>
      </c>
      <c r="Q9" s="198">
        <f>O9/N9*100</f>
        <v>91.83011289839146</v>
      </c>
      <c r="R9" s="106"/>
      <c r="S9" s="107"/>
      <c r="T9" s="186">
        <f>D9-E9</f>
        <v>101465.33000000002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386150.24</v>
      </c>
      <c r="F10" s="171">
        <v>379448.35</v>
      </c>
      <c r="G10" s="109">
        <f t="shared" si="0"/>
        <v>-6701.890000000014</v>
      </c>
      <c r="H10" s="32">
        <f aca="true" t="shared" si="3" ref="H10:H36">F10/E10*100</f>
        <v>98.26443458898278</v>
      </c>
      <c r="I10" s="110">
        <f aca="true" t="shared" si="4" ref="I10:I37">F10-D10</f>
        <v>-105760.65000000002</v>
      </c>
      <c r="J10" s="110">
        <f aca="true" t="shared" si="5" ref="J10:J36">F10/D10*100</f>
        <v>78.20307331479836</v>
      </c>
      <c r="K10" s="112">
        <v>262635.28</v>
      </c>
      <c r="L10" s="112">
        <f t="shared" si="1"/>
        <v>116813.06999999995</v>
      </c>
      <c r="M10" s="252">
        <f t="shared" si="2"/>
        <v>1.4447729566263905</v>
      </c>
      <c r="N10" s="111">
        <f>E10-вересень!E10</f>
        <v>47580</v>
      </c>
      <c r="O10" s="179">
        <f>F10-вересень!F10</f>
        <v>40179.29999999999</v>
      </c>
      <c r="P10" s="112">
        <f aca="true" t="shared" si="6" ref="P10:P37">O10-N10</f>
        <v>-7400.700000000012</v>
      </c>
      <c r="Q10" s="198">
        <f aca="true" t="shared" si="7" ref="Q10:Q16">O10/N10*100</f>
        <v>84.44577553593945</v>
      </c>
      <c r="R10" s="42"/>
      <c r="S10" s="100"/>
      <c r="T10" s="186">
        <f aca="true" t="shared" si="8" ref="T10:T73">D10-E10</f>
        <v>99058.76000000001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22814.94</v>
      </c>
      <c r="F11" s="171">
        <v>32764.1</v>
      </c>
      <c r="G11" s="109">
        <f t="shared" si="0"/>
        <v>9949.16</v>
      </c>
      <c r="H11" s="32">
        <f t="shared" si="3"/>
        <v>143.60809189066464</v>
      </c>
      <c r="I11" s="110">
        <f t="shared" si="4"/>
        <v>9764.099999999999</v>
      </c>
      <c r="J11" s="110">
        <f t="shared" si="5"/>
        <v>142.45260869565217</v>
      </c>
      <c r="K11" s="112">
        <v>15809.05</v>
      </c>
      <c r="L11" s="112">
        <f t="shared" si="1"/>
        <v>16955.05</v>
      </c>
      <c r="M11" s="252">
        <f t="shared" si="2"/>
        <v>2.0724901243275213</v>
      </c>
      <c r="N11" s="111">
        <f>E11-вересень!E11</f>
        <v>1300</v>
      </c>
      <c r="O11" s="179">
        <f>F11-вересень!F11</f>
        <v>4266.629999999997</v>
      </c>
      <c r="P11" s="112">
        <f t="shared" si="6"/>
        <v>2966.6299999999974</v>
      </c>
      <c r="Q11" s="198">
        <f t="shared" si="7"/>
        <v>328.2023076923075</v>
      </c>
      <c r="R11" s="42"/>
      <c r="S11" s="100"/>
      <c r="T11" s="186">
        <f t="shared" si="8"/>
        <v>185.0600000000013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6380.61</v>
      </c>
      <c r="F12" s="171">
        <v>7976.57</v>
      </c>
      <c r="G12" s="109">
        <f t="shared" si="0"/>
        <v>1595.96</v>
      </c>
      <c r="H12" s="32">
        <f t="shared" si="3"/>
        <v>125.01265552980045</v>
      </c>
      <c r="I12" s="110">
        <f t="shared" si="4"/>
        <v>1476.5699999999997</v>
      </c>
      <c r="J12" s="110">
        <f t="shared" si="5"/>
        <v>122.71646153846154</v>
      </c>
      <c r="K12" s="112">
        <v>4169.14</v>
      </c>
      <c r="L12" s="112">
        <f t="shared" si="1"/>
        <v>3807.4299999999994</v>
      </c>
      <c r="M12" s="252">
        <f t="shared" si="2"/>
        <v>1.9132411000829905</v>
      </c>
      <c r="N12" s="111">
        <f>E12-вересень!E12</f>
        <v>500</v>
      </c>
      <c r="O12" s="179">
        <f>F12-вересень!F12</f>
        <v>566.8499999999995</v>
      </c>
      <c r="P12" s="112">
        <f t="shared" si="6"/>
        <v>66.84999999999945</v>
      </c>
      <c r="Q12" s="198">
        <f t="shared" si="7"/>
        <v>113.36999999999988</v>
      </c>
      <c r="R12" s="42"/>
      <c r="S12" s="100"/>
      <c r="T12" s="186">
        <f t="shared" si="8"/>
        <v>119.39000000000033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10314.84</v>
      </c>
      <c r="F13" s="171">
        <v>8349.79</v>
      </c>
      <c r="G13" s="109">
        <f t="shared" si="0"/>
        <v>-1965.0499999999993</v>
      </c>
      <c r="H13" s="32">
        <f t="shared" si="3"/>
        <v>80.94929247569522</v>
      </c>
      <c r="I13" s="110">
        <f t="shared" si="4"/>
        <v>-4050.209999999999</v>
      </c>
      <c r="J13" s="110">
        <f t="shared" si="5"/>
        <v>67.33701612903226</v>
      </c>
      <c r="K13" s="112">
        <v>6098.87</v>
      </c>
      <c r="L13" s="112">
        <f t="shared" si="1"/>
        <v>2250.920000000001</v>
      </c>
      <c r="M13" s="252">
        <f t="shared" si="2"/>
        <v>1.3690716476986722</v>
      </c>
      <c r="N13" s="111">
        <f>E13-вересень!E13</f>
        <v>650</v>
      </c>
      <c r="O13" s="179">
        <f>F13-вересень!F13</f>
        <v>838.5400000000009</v>
      </c>
      <c r="P13" s="112">
        <f t="shared" si="6"/>
        <v>188.54000000000087</v>
      </c>
      <c r="Q13" s="198">
        <f t="shared" si="7"/>
        <v>129.00615384615398</v>
      </c>
      <c r="R13" s="42"/>
      <c r="S13" s="100"/>
      <c r="T13" s="186">
        <f t="shared" si="8"/>
        <v>2085.16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3463.04</v>
      </c>
      <c r="F14" s="171">
        <v>2743.99</v>
      </c>
      <c r="G14" s="109">
        <f t="shared" si="0"/>
        <v>-719.0500000000002</v>
      </c>
      <c r="H14" s="32">
        <f t="shared" si="3"/>
        <v>79.23645121049712</v>
      </c>
      <c r="I14" s="110">
        <f t="shared" si="4"/>
        <v>-736.0100000000002</v>
      </c>
      <c r="J14" s="110">
        <f t="shared" si="5"/>
        <v>78.85028735632183</v>
      </c>
      <c r="K14" s="112">
        <v>7562.97</v>
      </c>
      <c r="L14" s="112">
        <f t="shared" si="1"/>
        <v>-4818.9800000000005</v>
      </c>
      <c r="M14" s="252">
        <f t="shared" si="2"/>
        <v>0.3628191041350157</v>
      </c>
      <c r="N14" s="111">
        <f>E14-вересень!E14</f>
        <v>15</v>
      </c>
      <c r="O14" s="179">
        <f>F14-вересень!F14</f>
        <v>105.07999999999993</v>
      </c>
      <c r="P14" s="112">
        <f t="shared" si="6"/>
        <v>90.07999999999993</v>
      </c>
      <c r="Q14" s="198">
        <f t="shared" si="7"/>
        <v>700.5333333333328</v>
      </c>
      <c r="R14" s="42"/>
      <c r="S14" s="100"/>
      <c r="T14" s="186">
        <f t="shared" si="8"/>
        <v>16.960000000000036</v>
      </c>
      <c r="U14" s="273">
        <v>2880</v>
      </c>
      <c r="V14" s="186">
        <f>U14-T14</f>
        <v>2863.04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380</v>
      </c>
      <c r="F15" s="196">
        <v>386.82</v>
      </c>
      <c r="G15" s="190">
        <f t="shared" si="0"/>
        <v>6.819999999999993</v>
      </c>
      <c r="H15" s="197">
        <f>F15/E15*100</f>
        <v>101.79473684210527</v>
      </c>
      <c r="I15" s="198">
        <f t="shared" si="4"/>
        <v>-113.18</v>
      </c>
      <c r="J15" s="198">
        <f t="shared" si="5"/>
        <v>77.364</v>
      </c>
      <c r="K15" s="201">
        <v>-590.87</v>
      </c>
      <c r="L15" s="201">
        <f t="shared" si="1"/>
        <v>977.69</v>
      </c>
      <c r="M15" s="253">
        <f t="shared" si="2"/>
        <v>-0.6546617699324725</v>
      </c>
      <c r="N15" s="197">
        <f>E15-вересень!E15</f>
        <v>10</v>
      </c>
      <c r="O15" s="200">
        <f>F15-вересень!F15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120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E16-вересень!E16</f>
        <v>0</v>
      </c>
      <c r="O16" s="200">
        <f>F16-вересень!F16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0.14</v>
      </c>
      <c r="L17" s="201">
        <f t="shared" si="1"/>
        <v>0.03</v>
      </c>
      <c r="M17" s="253">
        <f t="shared" si="2"/>
        <v>1.2142857142857142</v>
      </c>
      <c r="N17" s="197">
        <f>E17-вересень!E17</f>
        <v>0</v>
      </c>
      <c r="O17" s="200">
        <f>F17-вересень!F17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E18-вересень!E18</f>
        <v>0</v>
      </c>
      <c r="O18" s="200">
        <f>F18-вересень!F18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90960.4</v>
      </c>
      <c r="F19" s="196">
        <v>83630.43</v>
      </c>
      <c r="G19" s="190">
        <f t="shared" si="0"/>
        <v>-7329.970000000001</v>
      </c>
      <c r="H19" s="197">
        <f t="shared" si="3"/>
        <v>91.94158117158675</v>
      </c>
      <c r="I19" s="198">
        <f t="shared" si="4"/>
        <v>-26269.570000000007</v>
      </c>
      <c r="J19" s="198">
        <f t="shared" si="5"/>
        <v>76.09684258416742</v>
      </c>
      <c r="K19" s="209">
        <v>58485.05</v>
      </c>
      <c r="L19" s="201">
        <f t="shared" si="1"/>
        <v>25145.37999999999</v>
      </c>
      <c r="M19" s="259">
        <f t="shared" si="2"/>
        <v>1.429945430498905</v>
      </c>
      <c r="N19" s="197">
        <f>E19-вересень!E19</f>
        <v>10900</v>
      </c>
      <c r="O19" s="200">
        <f>F19-вересень!F19</f>
        <v>9277.62999999999</v>
      </c>
      <c r="P19" s="201">
        <f t="shared" si="6"/>
        <v>-1622.37000000001</v>
      </c>
      <c r="Q19" s="198">
        <f aca="true" t="shared" si="9" ref="Q19:Q24">O19/N19*100</f>
        <v>85.11587155963294</v>
      </c>
      <c r="R19" s="113"/>
      <c r="S19" s="114"/>
      <c r="T19" s="186">
        <f t="shared" si="8"/>
        <v>18939.600000000006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275106.06</v>
      </c>
      <c r="F20" s="272">
        <f>F21+F29+F30+F31+F32</f>
        <v>282212.75</v>
      </c>
      <c r="G20" s="190">
        <f t="shared" si="0"/>
        <v>7106.690000000002</v>
      </c>
      <c r="H20" s="197">
        <f t="shared" si="3"/>
        <v>102.58325461823705</v>
      </c>
      <c r="I20" s="198">
        <f t="shared" si="4"/>
        <v>-33763.90000000002</v>
      </c>
      <c r="J20" s="198">
        <f t="shared" si="5"/>
        <v>89.31443193666367</v>
      </c>
      <c r="K20" s="198">
        <v>182815.03</v>
      </c>
      <c r="L20" s="201">
        <f t="shared" si="1"/>
        <v>99397.72</v>
      </c>
      <c r="M20" s="254">
        <f t="shared" si="2"/>
        <v>1.5437064994054372</v>
      </c>
      <c r="N20" s="197">
        <f>N21+N30+N31+N32</f>
        <v>28870.120000000003</v>
      </c>
      <c r="O20" s="200">
        <f>F20-вересень!F20</f>
        <v>34346.080000000016</v>
      </c>
      <c r="P20" s="201">
        <f t="shared" si="6"/>
        <v>5475.960000000014</v>
      </c>
      <c r="Q20" s="198">
        <f t="shared" si="9"/>
        <v>118.96756923767553</v>
      </c>
      <c r="R20" s="113"/>
      <c r="S20" s="114"/>
      <c r="T20" s="186">
        <f t="shared" si="8"/>
        <v>40870.590000000026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149443.41</v>
      </c>
      <c r="F21" s="211">
        <f>F22+F25+F26</f>
        <v>153656.32</v>
      </c>
      <c r="G21" s="190">
        <f t="shared" si="0"/>
        <v>4212.9100000000035</v>
      </c>
      <c r="H21" s="197">
        <f t="shared" si="3"/>
        <v>102.81906709703694</v>
      </c>
      <c r="I21" s="198">
        <f t="shared" si="4"/>
        <v>-21243.329999999987</v>
      </c>
      <c r="J21" s="198">
        <f t="shared" si="5"/>
        <v>87.85398941621668</v>
      </c>
      <c r="K21" s="198">
        <v>100774.79</v>
      </c>
      <c r="L21" s="201">
        <f t="shared" si="1"/>
        <v>52881.53000000001</v>
      </c>
      <c r="M21" s="254">
        <f t="shared" si="2"/>
        <v>1.5247495926312524</v>
      </c>
      <c r="N21" s="197">
        <f>N22+N25+N26</f>
        <v>15362.620000000003</v>
      </c>
      <c r="O21" s="200">
        <f>F21-вересень!F21</f>
        <v>17840.51000000001</v>
      </c>
      <c r="P21" s="201">
        <f t="shared" si="6"/>
        <v>2477.8900000000067</v>
      </c>
      <c r="Q21" s="198">
        <f t="shared" si="9"/>
        <v>116.12934512472486</v>
      </c>
      <c r="R21" s="113"/>
      <c r="S21" s="114"/>
      <c r="T21" s="186">
        <f t="shared" si="8"/>
        <v>25456.23999999999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17324.4</v>
      </c>
      <c r="F22" s="213">
        <v>20221.39</v>
      </c>
      <c r="G22" s="212">
        <f t="shared" si="0"/>
        <v>2896.989999999998</v>
      </c>
      <c r="H22" s="214">
        <f t="shared" si="3"/>
        <v>116.72202211909213</v>
      </c>
      <c r="I22" s="215">
        <f t="shared" si="4"/>
        <v>1721.3899999999994</v>
      </c>
      <c r="J22" s="215">
        <f t="shared" si="5"/>
        <v>109.3048108108108</v>
      </c>
      <c r="K22" s="216">
        <v>12486.13</v>
      </c>
      <c r="L22" s="206">
        <f t="shared" si="1"/>
        <v>7735.26</v>
      </c>
      <c r="M22" s="262">
        <f t="shared" si="2"/>
        <v>1.619508206305717</v>
      </c>
      <c r="N22" s="214">
        <f>E22-вересень!E22</f>
        <v>2199.920000000002</v>
      </c>
      <c r="O22" s="217">
        <f>F22-вересень!F22</f>
        <v>4462.57</v>
      </c>
      <c r="P22" s="218">
        <f t="shared" si="6"/>
        <v>2262.649999999998</v>
      </c>
      <c r="Q22" s="215">
        <f t="shared" si="9"/>
        <v>202.8514673260844</v>
      </c>
      <c r="R22" s="113"/>
      <c r="S22" s="114"/>
      <c r="T22" s="186">
        <f t="shared" si="8"/>
        <v>1175.5999999999985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1224.4</v>
      </c>
      <c r="F23" s="203">
        <v>795.54</v>
      </c>
      <c r="G23" s="241">
        <f t="shared" si="0"/>
        <v>-428.8600000000001</v>
      </c>
      <c r="H23" s="242">
        <f t="shared" si="3"/>
        <v>64.97386475008167</v>
      </c>
      <c r="I23" s="243">
        <f t="shared" si="4"/>
        <v>-1204.46</v>
      </c>
      <c r="J23" s="243">
        <f t="shared" si="5"/>
        <v>39.776999999999994</v>
      </c>
      <c r="K23" s="261">
        <v>666.58</v>
      </c>
      <c r="L23" s="261">
        <f t="shared" si="1"/>
        <v>128.95999999999992</v>
      </c>
      <c r="M23" s="263">
        <f t="shared" si="2"/>
        <v>1.1934651504695608</v>
      </c>
      <c r="N23" s="239">
        <f>E23-вересень!E23</f>
        <v>200</v>
      </c>
      <c r="O23" s="239">
        <f>F23-вересень!F23</f>
        <v>126.68999999999994</v>
      </c>
      <c r="P23" s="240">
        <f t="shared" si="6"/>
        <v>-73.31000000000006</v>
      </c>
      <c r="Q23" s="240">
        <f t="shared" si="9"/>
        <v>63.34499999999997</v>
      </c>
      <c r="R23" s="113"/>
      <c r="S23" s="114"/>
      <c r="T23" s="186">
        <f t="shared" si="8"/>
        <v>775.5999999999999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16100</v>
      </c>
      <c r="F24" s="203">
        <v>19425.85</v>
      </c>
      <c r="G24" s="241">
        <f t="shared" si="0"/>
        <v>3325.8499999999985</v>
      </c>
      <c r="H24" s="242">
        <f t="shared" si="3"/>
        <v>120.65745341614907</v>
      </c>
      <c r="I24" s="243">
        <f t="shared" si="4"/>
        <v>2925.8499999999985</v>
      </c>
      <c r="J24" s="243">
        <f t="shared" si="5"/>
        <v>117.73242424242423</v>
      </c>
      <c r="K24" s="261">
        <v>11819.55</v>
      </c>
      <c r="L24" s="261">
        <f t="shared" si="1"/>
        <v>7606.299999999999</v>
      </c>
      <c r="M24" s="263">
        <f t="shared" si="2"/>
        <v>1.6435354983903787</v>
      </c>
      <c r="N24" s="239">
        <f>E24-вересень!E24</f>
        <v>1999.92</v>
      </c>
      <c r="O24" s="239">
        <f>F24-вересень!F24</f>
        <v>4335.879999999999</v>
      </c>
      <c r="P24" s="240">
        <f t="shared" si="6"/>
        <v>2335.959999999999</v>
      </c>
      <c r="Q24" s="240">
        <f t="shared" si="9"/>
        <v>216.80267210688422</v>
      </c>
      <c r="R24" s="113"/>
      <c r="S24" s="114"/>
      <c r="T24" s="186">
        <f t="shared" si="8"/>
        <v>400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980.04</v>
      </c>
      <c r="F25" s="213">
        <v>810.29</v>
      </c>
      <c r="G25" s="212">
        <f t="shared" si="0"/>
        <v>-169.75</v>
      </c>
      <c r="H25" s="214">
        <f t="shared" si="3"/>
        <v>82.67927839680013</v>
      </c>
      <c r="I25" s="215">
        <f t="shared" si="4"/>
        <v>-189.71000000000004</v>
      </c>
      <c r="J25" s="215">
        <f t="shared" si="5"/>
        <v>81.029</v>
      </c>
      <c r="K25" s="215">
        <v>3493.96</v>
      </c>
      <c r="L25" s="215">
        <f t="shared" si="1"/>
        <v>-2683.67</v>
      </c>
      <c r="M25" s="257">
        <f t="shared" si="2"/>
        <v>0.2319116418047144</v>
      </c>
      <c r="N25" s="214">
        <f>E25-вересень!E25</f>
        <v>52.69999999999993</v>
      </c>
      <c r="O25" s="217">
        <f>F25-вересень!F25</f>
        <v>32.94999999999993</v>
      </c>
      <c r="P25" s="218">
        <f t="shared" si="6"/>
        <v>-19.75</v>
      </c>
      <c r="Q25" s="215"/>
      <c r="R25" s="113"/>
      <c r="S25" s="114"/>
      <c r="T25" s="186">
        <f t="shared" si="8"/>
        <v>19.960000000000036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131138.97</v>
      </c>
      <c r="F26" s="213">
        <v>132624.64</v>
      </c>
      <c r="G26" s="212">
        <f t="shared" si="0"/>
        <v>1485.6700000000128</v>
      </c>
      <c r="H26" s="214">
        <f t="shared" si="3"/>
        <v>101.13289741409439</v>
      </c>
      <c r="I26" s="215">
        <f t="shared" si="4"/>
        <v>-22775.00999999998</v>
      </c>
      <c r="J26" s="215">
        <f t="shared" si="5"/>
        <v>85.34423340078308</v>
      </c>
      <c r="K26" s="216">
        <v>84794.7</v>
      </c>
      <c r="L26" s="216">
        <f t="shared" si="1"/>
        <v>47829.94000000002</v>
      </c>
      <c r="M26" s="256">
        <f t="shared" si="2"/>
        <v>1.5640675655436014</v>
      </c>
      <c r="N26" s="214">
        <f>E26-вересень!E26</f>
        <v>13110</v>
      </c>
      <c r="O26" s="217">
        <f>F26-вересень!F26</f>
        <v>13344.99000000002</v>
      </c>
      <c r="P26" s="218">
        <f t="shared" si="6"/>
        <v>234.9900000000198</v>
      </c>
      <c r="Q26" s="215">
        <f>O26/N26*100</f>
        <v>101.79244851258595</v>
      </c>
      <c r="R26" s="113"/>
      <c r="S26" s="114"/>
      <c r="T26" s="186">
        <f t="shared" si="8"/>
        <v>24260.679999999993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40401.8</v>
      </c>
      <c r="F27" s="203">
        <v>42006.28</v>
      </c>
      <c r="G27" s="241">
        <f t="shared" si="0"/>
        <v>1604.479999999996</v>
      </c>
      <c r="H27" s="242">
        <f t="shared" si="3"/>
        <v>103.97130820904019</v>
      </c>
      <c r="I27" s="243">
        <f t="shared" si="4"/>
        <v>-5360.720000000001</v>
      </c>
      <c r="J27" s="243">
        <f t="shared" si="5"/>
        <v>88.6825849219921</v>
      </c>
      <c r="K27" s="261">
        <v>22986.34</v>
      </c>
      <c r="L27" s="261">
        <f t="shared" si="1"/>
        <v>19019.94</v>
      </c>
      <c r="M27" s="263">
        <f t="shared" si="2"/>
        <v>1.827445343625823</v>
      </c>
      <c r="N27" s="239">
        <f>E27-вересень!E27</f>
        <v>3520</v>
      </c>
      <c r="O27" s="239">
        <f>F27-вересень!F27</f>
        <v>4010.159999999996</v>
      </c>
      <c r="P27" s="240">
        <f t="shared" si="6"/>
        <v>490.1599999999962</v>
      </c>
      <c r="Q27" s="240">
        <f>O27/N27*100</f>
        <v>113.9249999999999</v>
      </c>
      <c r="R27" s="113"/>
      <c r="S27" s="114"/>
      <c r="T27" s="186">
        <f t="shared" si="8"/>
        <v>6965.199999999997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90737.17</v>
      </c>
      <c r="F28" s="203">
        <v>90618.36</v>
      </c>
      <c r="G28" s="241">
        <f t="shared" si="0"/>
        <v>-118.80999999999767</v>
      </c>
      <c r="H28" s="242">
        <f t="shared" si="3"/>
        <v>99.86906137804387</v>
      </c>
      <c r="I28" s="243">
        <f t="shared" si="4"/>
        <v>-17414.289999999994</v>
      </c>
      <c r="J28" s="243">
        <f t="shared" si="5"/>
        <v>83.88053056182552</v>
      </c>
      <c r="K28" s="261">
        <v>61808.36</v>
      </c>
      <c r="L28" s="261">
        <f t="shared" si="1"/>
        <v>28810</v>
      </c>
      <c r="M28" s="263">
        <f t="shared" si="2"/>
        <v>1.4661181755995467</v>
      </c>
      <c r="N28" s="239">
        <f>E28-вересень!E28</f>
        <v>9590</v>
      </c>
      <c r="O28" s="239">
        <f>F28-вересень!F28</f>
        <v>9334.839999999997</v>
      </c>
      <c r="P28" s="240">
        <f t="shared" si="6"/>
        <v>-255.1600000000035</v>
      </c>
      <c r="Q28" s="240">
        <f>O28/N28*100</f>
        <v>97.33931178310736</v>
      </c>
      <c r="R28" s="113"/>
      <c r="S28" s="114"/>
      <c r="T28" s="186">
        <f t="shared" si="8"/>
        <v>17295.479999999996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E29-вересень!E29</f>
        <v>0</v>
      </c>
      <c r="O29" s="200">
        <f>F29-вересень!F29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62.81</v>
      </c>
      <c r="F30" s="196">
        <v>96.18</v>
      </c>
      <c r="G30" s="190">
        <f t="shared" si="0"/>
        <v>33.370000000000005</v>
      </c>
      <c r="H30" s="197">
        <f t="shared" si="3"/>
        <v>153.1284827256806</v>
      </c>
      <c r="I30" s="198">
        <f t="shared" si="4"/>
        <v>19.180000000000007</v>
      </c>
      <c r="J30" s="198">
        <f t="shared" si="5"/>
        <v>124.90909090909092</v>
      </c>
      <c r="K30" s="198">
        <v>60.64</v>
      </c>
      <c r="L30" s="198">
        <f t="shared" si="1"/>
        <v>35.540000000000006</v>
      </c>
      <c r="M30" s="255">
        <f>F30/K30</f>
        <v>1.5860817941952507</v>
      </c>
      <c r="N30" s="197">
        <f>E30-вересень!E30</f>
        <v>7.5</v>
      </c>
      <c r="O30" s="200">
        <f>F30-вересень!F30</f>
        <v>8.230000000000004</v>
      </c>
      <c r="P30" s="201">
        <f t="shared" si="6"/>
        <v>0.730000000000004</v>
      </c>
      <c r="Q30" s="198">
        <f>O30/N30*100</f>
        <v>109.73333333333339</v>
      </c>
      <c r="R30" s="113"/>
      <c r="S30" s="114"/>
      <c r="T30" s="186">
        <f t="shared" si="8"/>
        <v>14.189999999999998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-173.07</v>
      </c>
      <c r="G31" s="190">
        <f t="shared" si="0"/>
        <v>-173.07</v>
      </c>
      <c r="H31" s="197"/>
      <c r="I31" s="198">
        <f t="shared" si="4"/>
        <v>-173.07</v>
      </c>
      <c r="J31" s="198"/>
      <c r="K31" s="198">
        <v>-740.94</v>
      </c>
      <c r="L31" s="198">
        <f t="shared" si="1"/>
        <v>567.8700000000001</v>
      </c>
      <c r="M31" s="255">
        <f>F31/K31</f>
        <v>0.23358166653170295</v>
      </c>
      <c r="N31" s="197">
        <f>E31-вересень!E31</f>
        <v>0</v>
      </c>
      <c r="O31" s="200">
        <f>F31-вересень!F31</f>
        <v>-12.969999999999999</v>
      </c>
      <c r="P31" s="201">
        <f t="shared" si="6"/>
        <v>-12.969999999999999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v>125599.84</v>
      </c>
      <c r="F32" s="203">
        <v>128633.17</v>
      </c>
      <c r="G32" s="202">
        <f t="shared" si="0"/>
        <v>3033.3300000000017</v>
      </c>
      <c r="H32" s="204">
        <f t="shared" si="3"/>
        <v>102.41507473257927</v>
      </c>
      <c r="I32" s="205">
        <f t="shared" si="4"/>
        <v>-12366.830000000002</v>
      </c>
      <c r="J32" s="205">
        <f t="shared" si="5"/>
        <v>91.22919858156028</v>
      </c>
      <c r="K32" s="219">
        <v>82720.54</v>
      </c>
      <c r="L32" s="219">
        <f>F32-K32</f>
        <v>45912.630000000005</v>
      </c>
      <c r="M32" s="411">
        <f>F32/K32</f>
        <v>1.5550330063125797</v>
      </c>
      <c r="N32" s="197">
        <f>E32-вересень!E32</f>
        <v>13500</v>
      </c>
      <c r="O32" s="200">
        <f>F32-вересень!F32</f>
        <v>16510.309999999998</v>
      </c>
      <c r="P32" s="207">
        <f t="shared" si="6"/>
        <v>3010.3099999999977</v>
      </c>
      <c r="Q32" s="205">
        <f>O32/N32*100</f>
        <v>122.29859259259257</v>
      </c>
      <c r="R32" s="113"/>
      <c r="S32" s="114"/>
      <c r="T32" s="186">
        <f t="shared" si="8"/>
        <v>15400.160000000003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E33-вересень!E33</f>
        <v>0</v>
      </c>
      <c r="O33" s="179">
        <f>F33-вересень!F33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v>30662.97</v>
      </c>
      <c r="F34" s="171">
        <v>31576.04</v>
      </c>
      <c r="G34" s="109">
        <f t="shared" si="0"/>
        <v>913.0699999999997</v>
      </c>
      <c r="H34" s="111">
        <f t="shared" si="3"/>
        <v>102.97776112359631</v>
      </c>
      <c r="I34" s="110">
        <f t="shared" si="4"/>
        <v>-2640.959999999999</v>
      </c>
      <c r="J34" s="110">
        <f t="shared" si="5"/>
        <v>92.2817313031534</v>
      </c>
      <c r="K34" s="142">
        <v>19963.33</v>
      </c>
      <c r="L34" s="142">
        <f t="shared" si="1"/>
        <v>11612.71</v>
      </c>
      <c r="M34" s="264">
        <f t="shared" si="10"/>
        <v>1.5817020507099766</v>
      </c>
      <c r="N34" s="111">
        <f>E34-вересень!E34</f>
        <v>2300</v>
      </c>
      <c r="O34" s="179">
        <f>F34-вересень!F34</f>
        <v>3235.630000000001</v>
      </c>
      <c r="P34" s="112">
        <f t="shared" si="6"/>
        <v>935.630000000001</v>
      </c>
      <c r="Q34" s="110">
        <f>O34/N34*100</f>
        <v>140.67956521739134</v>
      </c>
      <c r="R34" s="113"/>
      <c r="S34" s="114"/>
      <c r="T34" s="186">
        <f t="shared" si="8"/>
        <v>3554.029999999999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v>94920.08</v>
      </c>
      <c r="F35" s="171">
        <v>97003.82</v>
      </c>
      <c r="G35" s="109">
        <f t="shared" si="0"/>
        <v>2083.7400000000052</v>
      </c>
      <c r="H35" s="111">
        <f t="shared" si="3"/>
        <v>102.19525731541736</v>
      </c>
      <c r="I35" s="110">
        <f t="shared" si="4"/>
        <v>-9728.179999999993</v>
      </c>
      <c r="J35" s="110">
        <f t="shared" si="5"/>
        <v>90.88541393396545</v>
      </c>
      <c r="K35" s="142">
        <v>62729.49</v>
      </c>
      <c r="L35" s="142">
        <f t="shared" si="1"/>
        <v>34274.33000000001</v>
      </c>
      <c r="M35" s="264">
        <f t="shared" si="10"/>
        <v>1.5463830488658525</v>
      </c>
      <c r="N35" s="111">
        <f>E35-вересень!E35</f>
        <v>11200</v>
      </c>
      <c r="O35" s="179">
        <f>F35-вересень!F35</f>
        <v>13248.020000000004</v>
      </c>
      <c r="P35" s="112">
        <f t="shared" si="6"/>
        <v>2048.020000000004</v>
      </c>
      <c r="Q35" s="110">
        <f>O35/N35*100</f>
        <v>118.28589285714288</v>
      </c>
      <c r="R35" s="113"/>
      <c r="S35" s="114"/>
      <c r="T35" s="186">
        <f t="shared" si="8"/>
        <v>11811.919999999998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53.08</v>
      </c>
      <c r="G36" s="109">
        <f t="shared" si="0"/>
        <v>36.29</v>
      </c>
      <c r="H36" s="111">
        <f t="shared" si="3"/>
        <v>316.1405598570578</v>
      </c>
      <c r="I36" s="110">
        <f t="shared" si="4"/>
        <v>2.0799999999999983</v>
      </c>
      <c r="J36" s="110">
        <f t="shared" si="5"/>
        <v>104.07843137254902</v>
      </c>
      <c r="K36" s="142">
        <v>28.89</v>
      </c>
      <c r="L36" s="142">
        <f t="shared" si="1"/>
        <v>24.189999999999998</v>
      </c>
      <c r="M36" s="264">
        <f t="shared" si="10"/>
        <v>1.837313949463482</v>
      </c>
      <c r="N36" s="111">
        <f>E36-вересень!E36</f>
        <v>0</v>
      </c>
      <c r="O36" s="179">
        <f>F36-вересень!F36</f>
        <v>26.659999999999997</v>
      </c>
      <c r="P36" s="112">
        <f t="shared" si="6"/>
        <v>26.659999999999997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5585.75</v>
      </c>
      <c r="L37" s="132">
        <f t="shared" si="1"/>
        <v>-5585.75</v>
      </c>
      <c r="M37" s="265">
        <f t="shared" si="10"/>
        <v>0</v>
      </c>
      <c r="N37" s="152">
        <f>E37-вересень!E37</f>
        <v>0</v>
      </c>
      <c r="O37" s="180">
        <f>F37-вересень!F37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55295.03</v>
      </c>
      <c r="F38" s="191">
        <f>F39+F40+F41+F42+F43+F45+F47+F48+F49+F50+F51+F56+F57+F61+F44</f>
        <v>55017.729999999996</v>
      </c>
      <c r="G38" s="191">
        <f>G39+G40+G41+G42+G43+G45+G47+G48+G49+G50+G51+G56+G57+G61</f>
        <v>-311.2500000000012</v>
      </c>
      <c r="H38" s="192">
        <f>F38/E38*100</f>
        <v>99.49850827461346</v>
      </c>
      <c r="I38" s="193">
        <f>F38-D38</f>
        <v>-6824.750000000007</v>
      </c>
      <c r="J38" s="193">
        <f>F38/D38*100</f>
        <v>88.9643009141936</v>
      </c>
      <c r="K38" s="191">
        <v>35081.67</v>
      </c>
      <c r="L38" s="191">
        <f t="shared" si="1"/>
        <v>19936.059999999998</v>
      </c>
      <c r="M38" s="250">
        <f t="shared" si="10"/>
        <v>1.5682756835692258</v>
      </c>
      <c r="N38" s="191">
        <f>N39+N40+N41+N42+N43+N45+N47+N48+N49+N50+N51+N56+N57+N61+N44</f>
        <v>6170</v>
      </c>
      <c r="O38" s="191">
        <f>O39+O40+O41+O42+O43+O45+O47+O48+O49+O50+O51+O56+O57+O61+O44</f>
        <v>5570.8399999999965</v>
      </c>
      <c r="P38" s="191">
        <f>P39+P40+P41+P42+P43+P45+P47+P48+P49+P50+P51+P56+P57+P61</f>
        <v>-605.960000000003</v>
      </c>
      <c r="Q38" s="191">
        <f>O38/N38*100</f>
        <v>90.28914100486219</v>
      </c>
      <c r="R38" s="15" t="e">
        <f>#N/A</f>
        <v>#N/A</v>
      </c>
      <c r="S38" s="15" t="e">
        <f>#N/A</f>
        <v>#N/A</v>
      </c>
      <c r="T38" s="186">
        <f t="shared" si="8"/>
        <v>6547.450000000004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386</v>
      </c>
      <c r="F39" s="196">
        <v>484.83</v>
      </c>
      <c r="G39" s="202">
        <f>F39-E39</f>
        <v>98.82999999999998</v>
      </c>
      <c r="H39" s="204">
        <f aca="true" t="shared" si="11" ref="H39:H62">F39/E39*100</f>
        <v>125.60362694300518</v>
      </c>
      <c r="I39" s="205">
        <f>F39-D39</f>
        <v>84.82999999999998</v>
      </c>
      <c r="J39" s="205">
        <f>F39/D39*100</f>
        <v>121.2075</v>
      </c>
      <c r="K39" s="205">
        <v>-57.79</v>
      </c>
      <c r="L39" s="205">
        <f t="shared" si="1"/>
        <v>542.62</v>
      </c>
      <c r="M39" s="266">
        <f t="shared" si="10"/>
        <v>-8.389513756705313</v>
      </c>
      <c r="N39" s="204">
        <f>E39-вересень!E39</f>
        <v>3</v>
      </c>
      <c r="O39" s="208">
        <f>F39-вересень!F39</f>
        <v>63.94999999999999</v>
      </c>
      <c r="P39" s="207">
        <f>O39-N39</f>
        <v>60.94999999999999</v>
      </c>
      <c r="Q39" s="205">
        <f aca="true" t="shared" si="12" ref="Q39:Q62">O39/N39*100</f>
        <v>2131.666666666666</v>
      </c>
      <c r="R39" s="42"/>
      <c r="S39" s="100"/>
      <c r="T39" s="186">
        <f t="shared" si="8"/>
        <v>14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v>27766</v>
      </c>
      <c r="F40" s="196">
        <v>27670.12</v>
      </c>
      <c r="G40" s="202">
        <f aca="true" t="shared" si="13" ref="G40:G63">F40-E40</f>
        <v>-95.88000000000102</v>
      </c>
      <c r="H40" s="204">
        <f t="shared" si="11"/>
        <v>99.65468558668876</v>
      </c>
      <c r="I40" s="205">
        <f aca="true" t="shared" si="14" ref="I40:I63">F40-D40</f>
        <v>-2336.880000000001</v>
      </c>
      <c r="J40" s="205">
        <f>F40/D40*100</f>
        <v>92.21221714933182</v>
      </c>
      <c r="K40" s="205">
        <v>8434.93</v>
      </c>
      <c r="L40" s="205">
        <f t="shared" si="1"/>
        <v>19235.19</v>
      </c>
      <c r="M40" s="266"/>
      <c r="N40" s="204">
        <f>E40-вересень!E40</f>
        <v>3600</v>
      </c>
      <c r="O40" s="208">
        <f>F40-вересень!F40</f>
        <v>3503.989999999998</v>
      </c>
      <c r="P40" s="207">
        <f aca="true" t="shared" si="15" ref="P40:P63">O40-N40</f>
        <v>-96.01000000000204</v>
      </c>
      <c r="Q40" s="205">
        <f t="shared" si="12"/>
        <v>97.3330555555555</v>
      </c>
      <c r="R40" s="42"/>
      <c r="S40" s="100"/>
      <c r="T40" s="186">
        <f t="shared" si="8"/>
        <v>2241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349.81</v>
      </c>
      <c r="L41" s="205">
        <f t="shared" si="1"/>
        <v>-317.83</v>
      </c>
      <c r="M41" s="266">
        <f aca="true" t="shared" si="17" ref="M41:M63">F41/K41</f>
        <v>0.09142105714530745</v>
      </c>
      <c r="N41" s="204">
        <f>E41-вересень!E41</f>
        <v>0</v>
      </c>
      <c r="O41" s="208">
        <f>F41-вересень!F41</f>
        <v>0</v>
      </c>
      <c r="P41" s="207">
        <f t="shared" si="15"/>
        <v>0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E42-вересень!E42</f>
        <v>0</v>
      </c>
      <c r="O42" s="208">
        <f>F42-вересень!F42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100</v>
      </c>
      <c r="F43" s="196">
        <v>207.68</v>
      </c>
      <c r="G43" s="202">
        <f t="shared" si="13"/>
        <v>107.68</v>
      </c>
      <c r="H43" s="204">
        <f t="shared" si="11"/>
        <v>207.68</v>
      </c>
      <c r="I43" s="205">
        <f t="shared" si="14"/>
        <v>57.68000000000001</v>
      </c>
      <c r="J43" s="205">
        <f t="shared" si="16"/>
        <v>138.45333333333335</v>
      </c>
      <c r="K43" s="205">
        <v>255.87</v>
      </c>
      <c r="L43" s="205">
        <f t="shared" si="1"/>
        <v>-48.19</v>
      </c>
      <c r="M43" s="266">
        <f t="shared" si="17"/>
        <v>0.8116621721968187</v>
      </c>
      <c r="N43" s="204">
        <f>E43-вересень!E43</f>
        <v>10</v>
      </c>
      <c r="O43" s="208">
        <f>F43-вересень!F43</f>
        <v>10.560000000000002</v>
      </c>
      <c r="P43" s="207">
        <f t="shared" si="15"/>
        <v>0.5600000000000023</v>
      </c>
      <c r="Q43" s="205">
        <f t="shared" si="12"/>
        <v>105.60000000000002</v>
      </c>
      <c r="R43" s="42"/>
      <c r="S43" s="100"/>
      <c r="T43" s="186">
        <f t="shared" si="8"/>
        <v>50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47.95</v>
      </c>
      <c r="G44" s="202">
        <f t="shared" si="13"/>
        <v>33.95</v>
      </c>
      <c r="H44" s="204"/>
      <c r="I44" s="205">
        <f t="shared" si="14"/>
        <v>33.95</v>
      </c>
      <c r="J44" s="205"/>
      <c r="K44" s="205">
        <v>0</v>
      </c>
      <c r="L44" s="205">
        <f t="shared" si="1"/>
        <v>47.95</v>
      </c>
      <c r="M44" s="266" t="e">
        <f t="shared" si="17"/>
        <v>#DIV/0!</v>
      </c>
      <c r="N44" s="204">
        <f>E44-вересень!E44</f>
        <v>0</v>
      </c>
      <c r="O44" s="208">
        <f>F44-вересень!F44</f>
        <v>6.800000000000004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272</v>
      </c>
      <c r="F45" s="196">
        <v>531.02</v>
      </c>
      <c r="G45" s="202">
        <f t="shared" si="13"/>
        <v>259.02</v>
      </c>
      <c r="H45" s="204">
        <f t="shared" si="11"/>
        <v>195.22794117647058</v>
      </c>
      <c r="I45" s="205">
        <f t="shared" si="14"/>
        <v>231.01999999999998</v>
      </c>
      <c r="J45" s="205">
        <f t="shared" si="16"/>
        <v>177.00666666666666</v>
      </c>
      <c r="K45" s="205">
        <v>0</v>
      </c>
      <c r="L45" s="205">
        <f t="shared" si="1"/>
        <v>531.02</v>
      </c>
      <c r="M45" s="266"/>
      <c r="N45" s="204">
        <f>E45-вересень!E45</f>
        <v>8</v>
      </c>
      <c r="O45" s="208">
        <f>F45-вересень!F45</f>
        <v>102.38999999999999</v>
      </c>
      <c r="P45" s="207">
        <f t="shared" si="15"/>
        <v>94.38999999999999</v>
      </c>
      <c r="Q45" s="205">
        <f t="shared" si="12"/>
        <v>1279.8749999999998</v>
      </c>
      <c r="R45" s="42"/>
      <c r="S45" s="100"/>
      <c r="T45" s="186">
        <f t="shared" si="8"/>
        <v>28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E46-вересень!E46</f>
        <v>0</v>
      </c>
      <c r="O46" s="208">
        <f>F46-вересень!F46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8749.02</v>
      </c>
      <c r="F47" s="196">
        <v>8876.24</v>
      </c>
      <c r="G47" s="202">
        <f t="shared" si="13"/>
        <v>127.21999999999935</v>
      </c>
      <c r="H47" s="204">
        <f t="shared" si="11"/>
        <v>101.45410571698315</v>
      </c>
      <c r="I47" s="205">
        <f t="shared" si="14"/>
        <v>-1023.7600000000002</v>
      </c>
      <c r="J47" s="205">
        <f t="shared" si="16"/>
        <v>89.65898989898989</v>
      </c>
      <c r="K47" s="205">
        <v>8383.7</v>
      </c>
      <c r="L47" s="205">
        <f t="shared" si="1"/>
        <v>492.53999999999905</v>
      </c>
      <c r="M47" s="266">
        <f t="shared" si="17"/>
        <v>1.0587497167121913</v>
      </c>
      <c r="N47" s="204">
        <f>E47-вересень!E47</f>
        <v>900</v>
      </c>
      <c r="O47" s="208">
        <f>F47-вересень!F47</f>
        <v>808.5</v>
      </c>
      <c r="P47" s="207">
        <f t="shared" si="15"/>
        <v>-91.5</v>
      </c>
      <c r="Q47" s="205">
        <f t="shared" si="12"/>
        <v>89.83333333333333</v>
      </c>
      <c r="R47" s="42"/>
      <c r="S47" s="100"/>
      <c r="T47" s="186">
        <f t="shared" si="8"/>
        <v>1150.9799999999996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246.53</v>
      </c>
      <c r="G48" s="202">
        <f t="shared" si="13"/>
        <v>-403.47</v>
      </c>
      <c r="H48" s="204">
        <f t="shared" si="11"/>
        <v>37.927692307692304</v>
      </c>
      <c r="I48" s="205">
        <f t="shared" si="14"/>
        <v>-403.47</v>
      </c>
      <c r="J48" s="205">
        <f t="shared" si="16"/>
        <v>37.927692307692304</v>
      </c>
      <c r="K48" s="205">
        <v>0</v>
      </c>
      <c r="L48" s="205">
        <f t="shared" si="1"/>
        <v>246.53</v>
      </c>
      <c r="M48" s="266"/>
      <c r="N48" s="204">
        <f>E48-вересень!E48</f>
        <v>0</v>
      </c>
      <c r="O48" s="208">
        <f>F48-вересень!F48</f>
        <v>36.41</v>
      </c>
      <c r="P48" s="207">
        <f t="shared" si="15"/>
        <v>36.41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36</v>
      </c>
      <c r="F49" s="196">
        <v>16.96</v>
      </c>
      <c r="G49" s="202">
        <f t="shared" si="13"/>
        <v>-19.04</v>
      </c>
      <c r="H49" s="204">
        <f t="shared" si="11"/>
        <v>47.111111111111114</v>
      </c>
      <c r="I49" s="205">
        <f t="shared" si="14"/>
        <v>-33.04</v>
      </c>
      <c r="J49" s="205">
        <f t="shared" si="16"/>
        <v>33.92</v>
      </c>
      <c r="K49" s="205">
        <v>0</v>
      </c>
      <c r="L49" s="205">
        <f t="shared" si="1"/>
        <v>16.96</v>
      </c>
      <c r="M49" s="266"/>
      <c r="N49" s="204">
        <f>E49-вересень!E49</f>
        <v>4</v>
      </c>
      <c r="O49" s="208">
        <f>F49-вересень!F49</f>
        <v>0.28000000000000114</v>
      </c>
      <c r="P49" s="207">
        <f t="shared" si="15"/>
        <v>-3.719999999999999</v>
      </c>
      <c r="Q49" s="205">
        <f t="shared" si="12"/>
        <v>7.000000000000028</v>
      </c>
      <c r="R49" s="42"/>
      <c r="S49" s="100"/>
      <c r="T49" s="186">
        <f t="shared" si="8"/>
        <v>14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6566.23</v>
      </c>
      <c r="F50" s="196">
        <v>6193.94</v>
      </c>
      <c r="G50" s="202">
        <f t="shared" si="13"/>
        <v>-372.28999999999996</v>
      </c>
      <c r="H50" s="204">
        <f t="shared" si="11"/>
        <v>94.33023211188156</v>
      </c>
      <c r="I50" s="205">
        <f t="shared" si="14"/>
        <v>-1806.0600000000004</v>
      </c>
      <c r="J50" s="205">
        <f t="shared" si="16"/>
        <v>77.42425</v>
      </c>
      <c r="K50" s="205">
        <v>7492.82</v>
      </c>
      <c r="L50" s="205">
        <f t="shared" si="1"/>
        <v>-1298.88</v>
      </c>
      <c r="M50" s="266">
        <f t="shared" si="17"/>
        <v>0.8266500463110017</v>
      </c>
      <c r="N50" s="204">
        <f>E50-вересень!E50</f>
        <v>650</v>
      </c>
      <c r="O50" s="208">
        <f>F50-вересень!F50</f>
        <v>568.7199999999993</v>
      </c>
      <c r="P50" s="207">
        <f t="shared" si="15"/>
        <v>-81.28000000000065</v>
      </c>
      <c r="Q50" s="205">
        <f t="shared" si="12"/>
        <v>87.49538461538452</v>
      </c>
      <c r="R50" s="42"/>
      <c r="S50" s="100"/>
      <c r="T50" s="186">
        <f t="shared" si="8"/>
        <v>1433.7700000000004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5466.19</v>
      </c>
      <c r="F51" s="196">
        <v>5010.53</v>
      </c>
      <c r="G51" s="202">
        <f t="shared" si="13"/>
        <v>-455.65999999999985</v>
      </c>
      <c r="H51" s="204">
        <f t="shared" si="11"/>
        <v>91.66402924157411</v>
      </c>
      <c r="I51" s="205">
        <f t="shared" si="14"/>
        <v>-1989.5100000000002</v>
      </c>
      <c r="J51" s="205">
        <f t="shared" si="16"/>
        <v>71.57859097948011</v>
      </c>
      <c r="K51" s="205">
        <v>6187.55</v>
      </c>
      <c r="L51" s="205">
        <f t="shared" si="1"/>
        <v>-1177.0200000000004</v>
      </c>
      <c r="M51" s="266">
        <f t="shared" si="17"/>
        <v>0.8097760826175141</v>
      </c>
      <c r="N51" s="204">
        <f>E51-вересень!E51</f>
        <v>555</v>
      </c>
      <c r="O51" s="208">
        <f>F51-вересень!F51</f>
        <v>84.90999999999985</v>
      </c>
      <c r="P51" s="207">
        <f t="shared" si="15"/>
        <v>-470.09000000000015</v>
      </c>
      <c r="Q51" s="205">
        <f t="shared" si="12"/>
        <v>15.299099099099072</v>
      </c>
      <c r="R51" s="42"/>
      <c r="S51" s="100"/>
      <c r="T51" s="186">
        <f t="shared" si="8"/>
        <v>1533.8500000000004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738.99</v>
      </c>
      <c r="F52" s="171">
        <v>702.3</v>
      </c>
      <c r="G52" s="36">
        <f t="shared" si="13"/>
        <v>-36.690000000000055</v>
      </c>
      <c r="H52" s="32">
        <f t="shared" si="11"/>
        <v>95.03511549547355</v>
      </c>
      <c r="I52" s="110">
        <f t="shared" si="14"/>
        <v>-267.70000000000005</v>
      </c>
      <c r="J52" s="110">
        <f t="shared" si="16"/>
        <v>72.4020618556701</v>
      </c>
      <c r="K52" s="110">
        <v>883.77</v>
      </c>
      <c r="L52" s="110">
        <f>F52-K52</f>
        <v>-181.47000000000003</v>
      </c>
      <c r="M52" s="115">
        <f t="shared" si="17"/>
        <v>0.7946637699854034</v>
      </c>
      <c r="N52" s="111">
        <f>E52-вересень!E52</f>
        <v>55</v>
      </c>
      <c r="O52" s="179">
        <f>F52-вересень!F52</f>
        <v>59.18999999999994</v>
      </c>
      <c r="P52" s="112">
        <f t="shared" si="15"/>
        <v>4.189999999999941</v>
      </c>
      <c r="Q52" s="132">
        <f t="shared" si="12"/>
        <v>107.6181818181817</v>
      </c>
      <c r="R52" s="42"/>
      <c r="S52" s="100"/>
      <c r="T52" s="186">
        <f t="shared" si="8"/>
        <v>231.01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0.29</v>
      </c>
      <c r="G53" s="36">
        <f t="shared" si="13"/>
        <v>-4.75</v>
      </c>
      <c r="H53" s="32">
        <f t="shared" si="11"/>
        <v>5.753968253968254</v>
      </c>
      <c r="I53" s="110">
        <f t="shared" si="14"/>
        <v>-4.75</v>
      </c>
      <c r="J53" s="110">
        <f t="shared" si="16"/>
        <v>5.753968253968254</v>
      </c>
      <c r="K53" s="110">
        <v>44.11</v>
      </c>
      <c r="L53" s="110">
        <f>F53-K53</f>
        <v>-43.82</v>
      </c>
      <c r="M53" s="115">
        <f t="shared" si="17"/>
        <v>0.0065744729086374964</v>
      </c>
      <c r="N53" s="111">
        <f>E53-вересень!E53</f>
        <v>0</v>
      </c>
      <c r="O53" s="179">
        <f>F53-вересень!F53</f>
        <v>0.019999999999999962</v>
      </c>
      <c r="P53" s="112">
        <f t="shared" si="15"/>
        <v>0.019999999999999962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E54-вересень!E54</f>
        <v>0</v>
      </c>
      <c r="O54" s="179">
        <f>F54-вересень!F54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4722.17</v>
      </c>
      <c r="F55" s="171">
        <v>4307.92</v>
      </c>
      <c r="G55" s="36">
        <f t="shared" si="13"/>
        <v>-414.25</v>
      </c>
      <c r="H55" s="32">
        <f t="shared" si="11"/>
        <v>91.22755004584756</v>
      </c>
      <c r="I55" s="110">
        <f t="shared" si="14"/>
        <v>-1716.08</v>
      </c>
      <c r="J55" s="110">
        <f t="shared" si="16"/>
        <v>71.51261620185923</v>
      </c>
      <c r="K55" s="110">
        <v>5258.92</v>
      </c>
      <c r="L55" s="110">
        <f>F55-K55</f>
        <v>-951</v>
      </c>
      <c r="M55" s="115">
        <f t="shared" si="17"/>
        <v>0.8191643911677683</v>
      </c>
      <c r="N55" s="111">
        <f>E55-вересень!E55</f>
        <v>500</v>
      </c>
      <c r="O55" s="179">
        <f>F55-вересень!F55</f>
        <v>25.699999999999818</v>
      </c>
      <c r="P55" s="112">
        <f t="shared" si="15"/>
        <v>-474.3000000000002</v>
      </c>
      <c r="Q55" s="132">
        <f t="shared" si="12"/>
        <v>5.139999999999963</v>
      </c>
      <c r="R55" s="42"/>
      <c r="S55" s="100"/>
      <c r="T55" s="186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E56-вересень!E56</f>
        <v>0</v>
      </c>
      <c r="O56" s="208">
        <f>F56-вересень!F56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5077.98</v>
      </c>
      <c r="F57" s="196">
        <v>5538.46</v>
      </c>
      <c r="G57" s="202">
        <f t="shared" si="13"/>
        <v>460.4800000000005</v>
      </c>
      <c r="H57" s="204">
        <f t="shared" si="11"/>
        <v>109.06817277736425</v>
      </c>
      <c r="I57" s="205">
        <f t="shared" si="14"/>
        <v>388.46000000000004</v>
      </c>
      <c r="J57" s="205">
        <f t="shared" si="16"/>
        <v>107.54291262135922</v>
      </c>
      <c r="K57" s="205">
        <v>4010.85</v>
      </c>
      <c r="L57" s="205">
        <f aca="true" t="shared" si="18" ref="L57:L63">F57-K57</f>
        <v>1527.6100000000001</v>
      </c>
      <c r="M57" s="266">
        <f t="shared" si="17"/>
        <v>1.380869391774811</v>
      </c>
      <c r="N57" s="204">
        <f>E57-вересень!E57</f>
        <v>440</v>
      </c>
      <c r="O57" s="208">
        <f>F57-вересень!F57</f>
        <v>384.3299999999999</v>
      </c>
      <c r="P57" s="207">
        <f t="shared" si="15"/>
        <v>-55.67000000000007</v>
      </c>
      <c r="Q57" s="205">
        <f t="shared" si="12"/>
        <v>87.34772727272725</v>
      </c>
      <c r="R57" s="42"/>
      <c r="S57" s="100"/>
      <c r="T57" s="186">
        <f t="shared" si="8"/>
        <v>72.02000000000044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E58-вересень!E58</f>
        <v>0</v>
      </c>
      <c r="O58" s="208">
        <f>F58-вересень!F58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1136.87</v>
      </c>
      <c r="G59" s="202"/>
      <c r="H59" s="204"/>
      <c r="I59" s="205"/>
      <c r="J59" s="205"/>
      <c r="K59" s="206">
        <v>1044.28</v>
      </c>
      <c r="L59" s="205">
        <f t="shared" si="18"/>
        <v>92.58999999999992</v>
      </c>
      <c r="M59" s="266">
        <f t="shared" si="17"/>
        <v>1.0886639598575094</v>
      </c>
      <c r="N59" s="204"/>
      <c r="O59" s="220">
        <f>F59-вересень!F59</f>
        <v>134.51999999999987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E60-вересень!E60</f>
        <v>0</v>
      </c>
      <c r="O60" s="208">
        <f>F60-вересень!F60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E61-вересень!E61</f>
        <v>0</v>
      </c>
      <c r="O61" s="208">
        <f>F61-вересень!F61</f>
        <v>0</v>
      </c>
      <c r="P61" s="207">
        <f t="shared" si="15"/>
        <v>0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21.4</v>
      </c>
      <c r="F62" s="196">
        <v>13.52</v>
      </c>
      <c r="G62" s="202">
        <f t="shared" si="13"/>
        <v>-7.879999999999999</v>
      </c>
      <c r="H62" s="204">
        <f t="shared" si="11"/>
        <v>63.177570093457945</v>
      </c>
      <c r="I62" s="205">
        <f t="shared" si="14"/>
        <v>-16.48</v>
      </c>
      <c r="J62" s="205">
        <f t="shared" si="16"/>
        <v>45.06666666666666</v>
      </c>
      <c r="K62" s="205">
        <v>20.92</v>
      </c>
      <c r="L62" s="205">
        <f t="shared" si="18"/>
        <v>-7.400000000000002</v>
      </c>
      <c r="M62" s="266">
        <f t="shared" si="17"/>
        <v>0.6462715105162523</v>
      </c>
      <c r="N62" s="204">
        <f>E62-вересень!E62</f>
        <v>2.299999999999997</v>
      </c>
      <c r="O62" s="208">
        <f>F62-вересень!F62</f>
        <v>0</v>
      </c>
      <c r="P62" s="207">
        <f t="shared" si="15"/>
        <v>-2.299999999999997</v>
      </c>
      <c r="Q62" s="205">
        <f t="shared" si="12"/>
        <v>0</v>
      </c>
      <c r="R62" s="42"/>
      <c r="S62" s="100"/>
      <c r="T62" s="186">
        <f t="shared" si="8"/>
        <v>8.600000000000001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E63-вересень!E63</f>
        <v>0</v>
      </c>
      <c r="O63" s="208">
        <f>F63-вересень!F63</f>
        <v>0</v>
      </c>
      <c r="P63" s="207">
        <f t="shared" si="15"/>
        <v>0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850992.5599999999</v>
      </c>
      <c r="F64" s="191">
        <f>F8+F38+F62+F63</f>
        <v>852651.03</v>
      </c>
      <c r="G64" s="191">
        <f>F64-E64</f>
        <v>1658.4700000000885</v>
      </c>
      <c r="H64" s="192">
        <f>F64/E64*100</f>
        <v>100.19488654518909</v>
      </c>
      <c r="I64" s="193">
        <f>F64-D64</f>
        <v>-166293.70000000007</v>
      </c>
      <c r="J64" s="193">
        <f>F64/D64*100</f>
        <v>83.679811563479</v>
      </c>
      <c r="K64" s="193">
        <v>577689.14</v>
      </c>
      <c r="L64" s="193">
        <f>F64-K64</f>
        <v>274961.89</v>
      </c>
      <c r="M64" s="267">
        <f>F64/K64</f>
        <v>1.4759685979210202</v>
      </c>
      <c r="N64" s="191">
        <f>N8+N38+N62+N63</f>
        <v>95997.42</v>
      </c>
      <c r="O64" s="191">
        <f>O8+O38+O62+O63</f>
        <v>95150.93000000001</v>
      </c>
      <c r="P64" s="195">
        <f>O64-N64</f>
        <v>-846.4899999999907</v>
      </c>
      <c r="Q64" s="193">
        <f>O64/N64*100</f>
        <v>99.11821588538527</v>
      </c>
      <c r="R64" s="28">
        <f>O64-34768</f>
        <v>60382.93000000001</v>
      </c>
      <c r="S64" s="128">
        <f>O64/34768</f>
        <v>2.7367386677404513</v>
      </c>
      <c r="T64" s="186">
        <f t="shared" si="8"/>
        <v>167952.17000000016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F69-вересень!F69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-10.19</v>
      </c>
      <c r="G70" s="202">
        <f>F70-E70</f>
        <v>-10.19</v>
      </c>
      <c r="H70" s="204"/>
      <c r="I70" s="207">
        <f>F70-D70</f>
        <v>-10.19</v>
      </c>
      <c r="J70" s="207"/>
      <c r="K70" s="207">
        <v>-54.75</v>
      </c>
      <c r="L70" s="207">
        <f>F70-K70</f>
        <v>44.56</v>
      </c>
      <c r="M70" s="254">
        <f>F70/K70</f>
        <v>0.18611872146118721</v>
      </c>
      <c r="N70" s="204"/>
      <c r="O70" s="223">
        <f>F70-вересень!F70</f>
        <v>-6.359999999999999</v>
      </c>
      <c r="P70" s="207">
        <f>O70-N70</f>
        <v>-6.359999999999999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-10.18</v>
      </c>
      <c r="G71" s="226">
        <f>F71-E71</f>
        <v>-10.18</v>
      </c>
      <c r="H71" s="227"/>
      <c r="I71" s="228">
        <f>F71-D71</f>
        <v>-10.18</v>
      </c>
      <c r="J71" s="228"/>
      <c r="K71" s="228">
        <v>-51.7</v>
      </c>
      <c r="L71" s="228">
        <f>F71-K71</f>
        <v>41.52</v>
      </c>
      <c r="M71" s="260">
        <f>F71/K71</f>
        <v>0.19690522243713732</v>
      </c>
      <c r="N71" s="226">
        <f>N70</f>
        <v>0</v>
      </c>
      <c r="O71" s="229">
        <f>SUM(O69:O70)</f>
        <v>-6.359999999999999</v>
      </c>
      <c r="P71" s="228">
        <f>O71-N71</f>
        <v>-6.359999999999999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f>4200+11000</f>
        <v>15200</v>
      </c>
      <c r="E73" s="221">
        <v>2700</v>
      </c>
      <c r="F73" s="222">
        <v>2052.2</v>
      </c>
      <c r="G73" s="202">
        <f aca="true" t="shared" si="19" ref="G73:G83">F73-E73</f>
        <v>-647.8000000000002</v>
      </c>
      <c r="H73" s="204"/>
      <c r="I73" s="207">
        <f aca="true" t="shared" si="20" ref="I73:I83">F73-D73</f>
        <v>-13147.8</v>
      </c>
      <c r="J73" s="207">
        <f>F73/D73*100</f>
        <v>13.501315789473683</v>
      </c>
      <c r="K73" s="207">
        <v>593.13</v>
      </c>
      <c r="L73" s="207">
        <f aca="true" t="shared" si="21" ref="L73:L83">F73-K73</f>
        <v>1459.0699999999997</v>
      </c>
      <c r="M73" s="254">
        <f>F73/K73</f>
        <v>3.459949758063156</v>
      </c>
      <c r="N73" s="204">
        <f>E73-вересень!E73</f>
        <v>0</v>
      </c>
      <c r="O73" s="208">
        <f>F73-вересень!F73</f>
        <v>498.2499999999998</v>
      </c>
      <c r="P73" s="207">
        <f aca="true" t="shared" si="22" ref="P73:P86">O73-N73</f>
        <v>498.2499999999998</v>
      </c>
      <c r="Q73" s="207" t="e">
        <f>O73/N73*100</f>
        <v>#DIV/0!</v>
      </c>
      <c r="R73" s="43"/>
      <c r="S73" s="103"/>
      <c r="T73" s="186">
        <f t="shared" si="8"/>
        <v>12500</v>
      </c>
    </row>
    <row r="74" spans="2:20" ht="18">
      <c r="B74" s="23" t="s">
        <v>31</v>
      </c>
      <c r="C74" s="78">
        <v>33010000</v>
      </c>
      <c r="D74" s="221">
        <f>7459+9700</f>
        <v>17159</v>
      </c>
      <c r="E74" s="221">
        <v>5152.91</v>
      </c>
      <c r="F74" s="222">
        <v>7241.5</v>
      </c>
      <c r="G74" s="202">
        <f t="shared" si="19"/>
        <v>2088.59</v>
      </c>
      <c r="H74" s="204">
        <f>F74/E74*100</f>
        <v>140.53224294621873</v>
      </c>
      <c r="I74" s="207">
        <f t="shared" si="20"/>
        <v>-9917.5</v>
      </c>
      <c r="J74" s="207">
        <f>F74/D74*100</f>
        <v>42.20234279386911</v>
      </c>
      <c r="K74" s="207">
        <v>7212.08</v>
      </c>
      <c r="L74" s="207">
        <f t="shared" si="21"/>
        <v>29.420000000000073</v>
      </c>
      <c r="M74" s="254">
        <f>F74/K74</f>
        <v>1.0040792670075762</v>
      </c>
      <c r="N74" s="204">
        <f>E74-вересень!E74</f>
        <v>460.6999999999998</v>
      </c>
      <c r="O74" s="208">
        <f>F74-вересень!F74</f>
        <v>338.0500000000002</v>
      </c>
      <c r="P74" s="207">
        <f t="shared" si="22"/>
        <v>-122.64999999999964</v>
      </c>
      <c r="Q74" s="207">
        <f>O74/N74*100</f>
        <v>73.3774690688084</v>
      </c>
      <c r="R74" s="43"/>
      <c r="S74" s="103"/>
      <c r="T74" s="186">
        <f aca="true" t="shared" si="23" ref="T74:T90">D74-E74</f>
        <v>12006.09</v>
      </c>
    </row>
    <row r="75" spans="2:20" ht="31.5">
      <c r="B75" s="23" t="s">
        <v>55</v>
      </c>
      <c r="C75" s="78">
        <v>24170000</v>
      </c>
      <c r="D75" s="221">
        <f>6000+10000</f>
        <v>16000</v>
      </c>
      <c r="E75" s="221">
        <v>3000.85</v>
      </c>
      <c r="F75" s="222">
        <v>12246.75</v>
      </c>
      <c r="G75" s="202">
        <f t="shared" si="19"/>
        <v>9245.9</v>
      </c>
      <c r="H75" s="204">
        <f>F75/E75*100</f>
        <v>408.1093690121133</v>
      </c>
      <c r="I75" s="207">
        <f t="shared" si="20"/>
        <v>-3753.25</v>
      </c>
      <c r="J75" s="207">
        <f>F75/D75*100</f>
        <v>76.5421875</v>
      </c>
      <c r="K75" s="207">
        <v>2063.43</v>
      </c>
      <c r="L75" s="207">
        <f t="shared" si="21"/>
        <v>10183.32</v>
      </c>
      <c r="M75" s="254">
        <f>F75/K75</f>
        <v>5.935141972347015</v>
      </c>
      <c r="N75" s="204">
        <f>E75-вересень!E75</f>
        <v>302</v>
      </c>
      <c r="O75" s="208">
        <f>F75-вересень!F75</f>
        <v>130.32999999999993</v>
      </c>
      <c r="P75" s="207">
        <f t="shared" si="22"/>
        <v>-171.67000000000007</v>
      </c>
      <c r="Q75" s="207">
        <f>O75/N75*100</f>
        <v>43.15562913907282</v>
      </c>
      <c r="R75" s="43"/>
      <c r="S75" s="103"/>
      <c r="T75" s="186">
        <f t="shared" si="23"/>
        <v>12999.15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10</v>
      </c>
      <c r="F76" s="222">
        <v>11</v>
      </c>
      <c r="G76" s="202">
        <f t="shared" si="19"/>
        <v>1</v>
      </c>
      <c r="H76" s="204">
        <f>F76/E76*100</f>
        <v>110.00000000000001</v>
      </c>
      <c r="I76" s="207">
        <f t="shared" si="20"/>
        <v>-1</v>
      </c>
      <c r="J76" s="207">
        <f>F76/D76*100</f>
        <v>91.66666666666666</v>
      </c>
      <c r="K76" s="207">
        <v>0</v>
      </c>
      <c r="L76" s="207">
        <f t="shared" si="21"/>
        <v>11</v>
      </c>
      <c r="M76" s="254"/>
      <c r="N76" s="204">
        <f>E76-вересень!E76</f>
        <v>1</v>
      </c>
      <c r="O76" s="208">
        <f>F76-вересень!F76</f>
        <v>1</v>
      </c>
      <c r="P76" s="207">
        <f t="shared" si="22"/>
        <v>0</v>
      </c>
      <c r="Q76" s="207">
        <f>O76/N76*100</f>
        <v>100</v>
      </c>
      <c r="R76" s="43"/>
      <c r="S76" s="151"/>
      <c r="T76" s="186">
        <f t="shared" si="23"/>
        <v>2</v>
      </c>
    </row>
    <row r="77" spans="2:20" ht="33">
      <c r="B77" s="29" t="s">
        <v>52</v>
      </c>
      <c r="C77" s="70"/>
      <c r="D77" s="224">
        <f>D73+D74+D75+D76</f>
        <v>48371</v>
      </c>
      <c r="E77" s="224">
        <f>E73+E74+E75+E76</f>
        <v>10863.76</v>
      </c>
      <c r="F77" s="225">
        <f>F73+F74+F75+F76</f>
        <v>21551.45</v>
      </c>
      <c r="G77" s="226">
        <f t="shared" si="19"/>
        <v>10687.69</v>
      </c>
      <c r="H77" s="227">
        <f>F77/E77*100</f>
        <v>198.37929041142291</v>
      </c>
      <c r="I77" s="228">
        <f t="shared" si="20"/>
        <v>-26819.55</v>
      </c>
      <c r="J77" s="228">
        <f>F77/D77*100</f>
        <v>44.55448512538504</v>
      </c>
      <c r="K77" s="228">
        <v>6439.8</v>
      </c>
      <c r="L77" s="228">
        <f t="shared" si="21"/>
        <v>15111.650000000001</v>
      </c>
      <c r="M77" s="260">
        <f>F77/K77</f>
        <v>3.3466023789558683</v>
      </c>
      <c r="N77" s="226">
        <f>N73+N74+N75+N76</f>
        <v>763.6999999999998</v>
      </c>
      <c r="O77" s="230">
        <f>O73+O74+O75+O76</f>
        <v>967.6299999999999</v>
      </c>
      <c r="P77" s="228">
        <f t="shared" si="22"/>
        <v>203.93000000000006</v>
      </c>
      <c r="Q77" s="228">
        <f>O77/N77*100</f>
        <v>126.70289380646852</v>
      </c>
      <c r="R77" s="44"/>
      <c r="S77" s="129"/>
      <c r="T77" s="186">
        <f t="shared" si="23"/>
        <v>37507.24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35.95</v>
      </c>
      <c r="G78" s="202">
        <f t="shared" si="19"/>
        <v>35.95</v>
      </c>
      <c r="H78" s="204"/>
      <c r="I78" s="207">
        <f t="shared" si="20"/>
        <v>34.95</v>
      </c>
      <c r="J78" s="207"/>
      <c r="K78" s="207">
        <v>0.35</v>
      </c>
      <c r="L78" s="207">
        <f t="shared" si="21"/>
        <v>35.6</v>
      </c>
      <c r="M78" s="254">
        <f>F78/K78</f>
        <v>102.71428571428572</v>
      </c>
      <c r="N78" s="204">
        <f>E78-вересень!E78</f>
        <v>0</v>
      </c>
      <c r="O78" s="208">
        <f>F78-вересень!F78</f>
        <v>0.1700000000000017</v>
      </c>
      <c r="P78" s="207">
        <f t="shared" si="22"/>
        <v>0.1700000000000017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E79-вересень!E79</f>
        <v>0</v>
      </c>
      <c r="O79" s="208">
        <f>F79-вересень!F79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7625.3</v>
      </c>
      <c r="F80" s="222">
        <v>6836.07</v>
      </c>
      <c r="G80" s="202">
        <f t="shared" si="19"/>
        <v>-789.2300000000005</v>
      </c>
      <c r="H80" s="204">
        <f>F80/E80*100</f>
        <v>89.64984984197343</v>
      </c>
      <c r="I80" s="207">
        <f t="shared" si="20"/>
        <v>-2663.9300000000003</v>
      </c>
      <c r="J80" s="207">
        <f>F80/D80*100</f>
        <v>71.95863157894736</v>
      </c>
      <c r="K80" s="207">
        <v>0</v>
      </c>
      <c r="L80" s="207">
        <f t="shared" si="21"/>
        <v>6836.07</v>
      </c>
      <c r="M80" s="254"/>
      <c r="N80" s="204">
        <f>E80-вересень!E80</f>
        <v>1.300000000000182</v>
      </c>
      <c r="O80" s="208">
        <f>F80-вересень!F80</f>
        <v>10.399999999999636</v>
      </c>
      <c r="P80" s="207">
        <f>O80-N80</f>
        <v>9.099999999999454</v>
      </c>
      <c r="Q80" s="231">
        <f>O80/N80*100</f>
        <v>799.9999999998602</v>
      </c>
      <c r="R80" s="46"/>
      <c r="S80" s="105"/>
      <c r="T80" s="186">
        <f t="shared" si="23"/>
        <v>1874.6999999999998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1.34</v>
      </c>
      <c r="G81" s="202">
        <f t="shared" si="19"/>
        <v>1.34</v>
      </c>
      <c r="H81" s="204"/>
      <c r="I81" s="207">
        <f t="shared" si="20"/>
        <v>1.34</v>
      </c>
      <c r="J81" s="207"/>
      <c r="K81" s="207">
        <v>1.14</v>
      </c>
      <c r="L81" s="207">
        <f t="shared" si="21"/>
        <v>0.20000000000000018</v>
      </c>
      <c r="M81" s="254">
        <f>F81/K81</f>
        <v>1.1754385964912282</v>
      </c>
      <c r="N81" s="204">
        <f>E81-вересень!E81</f>
        <v>0</v>
      </c>
      <c r="O81" s="208">
        <f>F81-вересень!F81</f>
        <v>0.1200000000000001</v>
      </c>
      <c r="P81" s="207">
        <f t="shared" si="22"/>
        <v>0.1200000000000001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7625.3</v>
      </c>
      <c r="F82" s="225">
        <f>F78+F81+F79+F80</f>
        <v>6873.36</v>
      </c>
      <c r="G82" s="224">
        <f>G78+G81+G79+G80</f>
        <v>-751.9400000000005</v>
      </c>
      <c r="H82" s="227">
        <f>F82/E82*100</f>
        <v>90.13887978177907</v>
      </c>
      <c r="I82" s="228">
        <f t="shared" si="20"/>
        <v>-2627.6400000000003</v>
      </c>
      <c r="J82" s="228">
        <f>F82/D82*100</f>
        <v>72.34354278497001</v>
      </c>
      <c r="K82" s="228">
        <v>1.35</v>
      </c>
      <c r="L82" s="228">
        <f t="shared" si="21"/>
        <v>6872.009999999999</v>
      </c>
      <c r="M82" s="268">
        <f>F82/K82</f>
        <v>5091.377777777777</v>
      </c>
      <c r="N82" s="226">
        <f>N78+N81+N79+N80</f>
        <v>1.300000000000182</v>
      </c>
      <c r="O82" s="230">
        <f>O78+O81+O79+O80</f>
        <v>10.689999999999639</v>
      </c>
      <c r="P82" s="226">
        <f>P78+P81+P79+P80</f>
        <v>9.389999999999457</v>
      </c>
      <c r="Q82" s="228">
        <f>O82/N82*100</f>
        <v>822.3076923075494</v>
      </c>
      <c r="R82" s="44"/>
      <c r="S82" s="102"/>
      <c r="T82" s="186">
        <f t="shared" si="23"/>
        <v>1875.6999999999998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29.77</v>
      </c>
      <c r="F83" s="222">
        <v>27.47</v>
      </c>
      <c r="G83" s="202">
        <f t="shared" si="19"/>
        <v>-2.3000000000000007</v>
      </c>
      <c r="H83" s="204">
        <f>F83/E83*100</f>
        <v>92.27410144440712</v>
      </c>
      <c r="I83" s="207">
        <f t="shared" si="20"/>
        <v>-15.530000000000001</v>
      </c>
      <c r="J83" s="207">
        <f>F83/D83*100</f>
        <v>63.883720930232556</v>
      </c>
      <c r="K83" s="207">
        <v>30.02</v>
      </c>
      <c r="L83" s="207">
        <f t="shared" si="21"/>
        <v>-2.5500000000000007</v>
      </c>
      <c r="M83" s="254">
        <f>F83/K83</f>
        <v>0.9150566289140573</v>
      </c>
      <c r="N83" s="204">
        <f>E83-вересень!E83</f>
        <v>0.8000000000000007</v>
      </c>
      <c r="O83" s="208">
        <f>F83-вересень!F83</f>
        <v>0.5999999999999979</v>
      </c>
      <c r="P83" s="207">
        <f t="shared" si="22"/>
        <v>-0.20000000000000284</v>
      </c>
      <c r="Q83" s="207">
        <f>O83/N83</f>
        <v>0.7499999999999967</v>
      </c>
      <c r="R83" s="43"/>
      <c r="S83" s="103"/>
      <c r="T83" s="186">
        <f t="shared" si="23"/>
        <v>13.23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57915</v>
      </c>
      <c r="E85" s="232">
        <f>E71+E83+E77+E82</f>
        <v>18518.83</v>
      </c>
      <c r="F85" s="232">
        <f>F71+F83+F77+F82+F84</f>
        <v>28442.100000000002</v>
      </c>
      <c r="G85" s="233">
        <f>F85-E85</f>
        <v>9923.27</v>
      </c>
      <c r="H85" s="234">
        <f>F85/E85*100</f>
        <v>153.58475670439222</v>
      </c>
      <c r="I85" s="235">
        <f>F85-D85</f>
        <v>-29472.899999999998</v>
      </c>
      <c r="J85" s="235">
        <f>F85/D85*100</f>
        <v>49.110075110075115</v>
      </c>
      <c r="K85" s="235">
        <v>9845.6</v>
      </c>
      <c r="L85" s="235">
        <f>F85-K85</f>
        <v>18596.5</v>
      </c>
      <c r="M85" s="269">
        <f>F85/K85</f>
        <v>2.888813276996831</v>
      </c>
      <c r="N85" s="232">
        <f>N71+N83+N77+N82</f>
        <v>765.8</v>
      </c>
      <c r="O85" s="232">
        <f>O71+O83+O77+O82+O84</f>
        <v>972.5599999999995</v>
      </c>
      <c r="P85" s="235">
        <f t="shared" si="22"/>
        <v>206.75999999999954</v>
      </c>
      <c r="Q85" s="235">
        <f>O85/N85*100</f>
        <v>126.99921650561498</v>
      </c>
      <c r="R85" s="28">
        <f>O85-8104.96</f>
        <v>-7132.400000000001</v>
      </c>
      <c r="S85" s="101">
        <f>O85/8104.96</f>
        <v>0.11999565698041686</v>
      </c>
      <c r="T85" s="186">
        <f t="shared" si="23"/>
        <v>39396.17</v>
      </c>
    </row>
    <row r="86" spans="2:20" ht="17.25">
      <c r="B86" s="21" t="s">
        <v>33</v>
      </c>
      <c r="C86" s="71"/>
      <c r="D86" s="232">
        <f>D64+D85</f>
        <v>1076859.73</v>
      </c>
      <c r="E86" s="232">
        <f>E64+E85</f>
        <v>869511.3899999999</v>
      </c>
      <c r="F86" s="232">
        <f>F64+F85</f>
        <v>881093.13</v>
      </c>
      <c r="G86" s="233">
        <f>F86-E86</f>
        <v>11581.740000000107</v>
      </c>
      <c r="H86" s="234">
        <f>F86/E86*100</f>
        <v>101.33198255171794</v>
      </c>
      <c r="I86" s="235">
        <f>F86-D86</f>
        <v>-195766.59999999998</v>
      </c>
      <c r="J86" s="235">
        <f>F86/D86*100</f>
        <v>81.82060350608523</v>
      </c>
      <c r="K86" s="235">
        <f>K64+K85</f>
        <v>587534.74</v>
      </c>
      <c r="L86" s="235">
        <f>F86-K86</f>
        <v>293558.39</v>
      </c>
      <c r="M86" s="269">
        <f>F86/K86</f>
        <v>1.4996443103943096</v>
      </c>
      <c r="N86" s="233">
        <f>N64+N85</f>
        <v>96763.22</v>
      </c>
      <c r="O86" s="233">
        <f>O64+O85</f>
        <v>96123.49</v>
      </c>
      <c r="P86" s="235">
        <f t="shared" si="22"/>
        <v>-639.7299999999959</v>
      </c>
      <c r="Q86" s="235">
        <f>O86/N86*100</f>
        <v>99.33887069901147</v>
      </c>
      <c r="R86" s="28">
        <f>O86-42872.96</f>
        <v>53250.530000000006</v>
      </c>
      <c r="S86" s="101">
        <f>O86/42872.96</f>
        <v>2.242053965949634</v>
      </c>
      <c r="T86" s="186">
        <f t="shared" si="23"/>
        <v>207348.34000000008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42674</v>
      </c>
      <c r="D90" s="31">
        <v>6669</v>
      </c>
      <c r="G90" s="4" t="s">
        <v>59</v>
      </c>
      <c r="O90" s="424"/>
      <c r="P90" s="424"/>
      <c r="T90" s="186">
        <f t="shared" si="23"/>
        <v>6669</v>
      </c>
    </row>
    <row r="91" spans="3:16" ht="15">
      <c r="C91" s="87">
        <v>42671</v>
      </c>
      <c r="D91" s="31">
        <v>15898.1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42670</v>
      </c>
      <c r="D92" s="31">
        <v>7999.8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12068.543380000001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958</v>
      </c>
      <c r="F97" s="247">
        <f>F45+F48+F49</f>
        <v>794.51</v>
      </c>
      <c r="G97" s="73">
        <f>G45+G48+G49</f>
        <v>-163.49000000000004</v>
      </c>
      <c r="H97" s="74"/>
      <c r="I97" s="74"/>
      <c r="N97" s="31">
        <f>N45+N48+N49</f>
        <v>12</v>
      </c>
      <c r="O97" s="246">
        <f>O45+O48+O49</f>
        <v>139.07999999999998</v>
      </c>
      <c r="P97" s="31">
        <f>P45+P48+P49</f>
        <v>127.07999999999998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95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206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201</v>
      </c>
      <c r="O3" s="450" t="s">
        <v>202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198</v>
      </c>
      <c r="F4" s="433" t="s">
        <v>34</v>
      </c>
      <c r="G4" s="426" t="s">
        <v>199</v>
      </c>
      <c r="H4" s="435" t="s">
        <v>200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207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203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957071.4500000001</v>
      </c>
      <c r="E8" s="191">
        <f>E9+E15+E18+E19+E20+E37+E17</f>
        <v>705850.81</v>
      </c>
      <c r="F8" s="191">
        <f>F9+F15+F18+F19+F20+F37+F17</f>
        <v>708038.67</v>
      </c>
      <c r="G8" s="191">
        <f aca="true" t="shared" si="0" ref="G8:G37">F8-E8</f>
        <v>2187.859999999986</v>
      </c>
      <c r="H8" s="192">
        <f>F8/E8*100</f>
        <v>100.3099606841848</v>
      </c>
      <c r="I8" s="193">
        <f>F8-D8</f>
        <v>-249032.78000000003</v>
      </c>
      <c r="J8" s="193">
        <f>F8/D8*100</f>
        <v>73.97970862050059</v>
      </c>
      <c r="K8" s="191">
        <v>480879.27</v>
      </c>
      <c r="L8" s="191">
        <f aca="true" t="shared" si="1" ref="L8:L51">F8-K8</f>
        <v>227159.40000000002</v>
      </c>
      <c r="M8" s="250">
        <f aca="true" t="shared" si="2" ref="M8:M28">F8/K8</f>
        <v>1.472383432124242</v>
      </c>
      <c r="N8" s="191">
        <f>N9+N15+N18+N19+N20+N17</f>
        <v>76492.83</v>
      </c>
      <c r="O8" s="191">
        <f>O9+O15+O18+O19+O20+O17</f>
        <v>74517.83999999998</v>
      </c>
      <c r="P8" s="191">
        <f>O8-N8</f>
        <v>-1974.9900000000198</v>
      </c>
      <c r="Q8" s="19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374978.67+4100</f>
        <v>379078.67</v>
      </c>
      <c r="F9" s="196">
        <v>385326.41</v>
      </c>
      <c r="G9" s="190">
        <f t="shared" si="0"/>
        <v>6247.739999999991</v>
      </c>
      <c r="H9" s="197">
        <f>F9/E9*100</f>
        <v>101.64813810283759</v>
      </c>
      <c r="I9" s="198">
        <f>F9-D9</f>
        <v>-145262.59000000003</v>
      </c>
      <c r="J9" s="198">
        <f>F9/D9*100</f>
        <v>72.62238945775354</v>
      </c>
      <c r="K9" s="412">
        <v>264375.41</v>
      </c>
      <c r="L9" s="199">
        <f t="shared" si="1"/>
        <v>120951</v>
      </c>
      <c r="M9" s="251">
        <f t="shared" si="2"/>
        <v>1.4574971628412794</v>
      </c>
      <c r="N9" s="197">
        <f>E9-серпень!E9</f>
        <v>46785</v>
      </c>
      <c r="O9" s="200">
        <f>F9-серпень!F9</f>
        <v>45408.04999999999</v>
      </c>
      <c r="P9" s="201">
        <f>O9-N9</f>
        <v>-1376.9500000000116</v>
      </c>
      <c r="Q9" s="198">
        <f>O9/N9*100</f>
        <v>97.05685582985998</v>
      </c>
      <c r="R9" s="106"/>
      <c r="S9" s="107"/>
      <c r="T9" s="186">
        <f>D9-E9</f>
        <v>151510.33000000002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f>334470.24+4100</f>
        <v>338570.24</v>
      </c>
      <c r="F10" s="171">
        <v>339269.05</v>
      </c>
      <c r="G10" s="109">
        <f t="shared" si="0"/>
        <v>698.8099999999977</v>
      </c>
      <c r="H10" s="32">
        <f aca="true" t="shared" si="3" ref="H10:H36">F10/E10*100</f>
        <v>100.20640030263735</v>
      </c>
      <c r="I10" s="110">
        <f aca="true" t="shared" si="4" ref="I10:I37">F10-D10</f>
        <v>-145939.95</v>
      </c>
      <c r="J10" s="110">
        <f aca="true" t="shared" si="5" ref="J10:J36">F10/D10*100</f>
        <v>69.92224999948475</v>
      </c>
      <c r="K10" s="112">
        <v>233936.48</v>
      </c>
      <c r="L10" s="112">
        <f t="shared" si="1"/>
        <v>105332.56999999998</v>
      </c>
      <c r="M10" s="252">
        <f t="shared" si="2"/>
        <v>1.4502614128416396</v>
      </c>
      <c r="N10" s="111">
        <f>E10-серпень!E10</f>
        <v>43200</v>
      </c>
      <c r="O10" s="179">
        <f>F10-серпень!F10</f>
        <v>40595.640000000014</v>
      </c>
      <c r="P10" s="112">
        <f aca="true" t="shared" si="6" ref="P10:P37">O10-N10</f>
        <v>-2604.359999999986</v>
      </c>
      <c r="Q10" s="198">
        <f aca="true" t="shared" si="7" ref="Q10:Q16">O10/N10*100</f>
        <v>93.97138888888892</v>
      </c>
      <c r="R10" s="42"/>
      <c r="S10" s="100"/>
      <c r="T10" s="186">
        <f aca="true" t="shared" si="8" ref="T10:T73">D10-E10</f>
        <v>146638.76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21514.94</v>
      </c>
      <c r="F11" s="171">
        <v>28497.47</v>
      </c>
      <c r="G11" s="109">
        <f t="shared" si="0"/>
        <v>6982.5300000000025</v>
      </c>
      <c r="H11" s="32">
        <f t="shared" si="3"/>
        <v>132.4543317341345</v>
      </c>
      <c r="I11" s="110">
        <f t="shared" si="4"/>
        <v>5497.470000000001</v>
      </c>
      <c r="J11" s="110">
        <f t="shared" si="5"/>
        <v>123.90204347826088</v>
      </c>
      <c r="K11" s="112">
        <v>14002.69</v>
      </c>
      <c r="L11" s="112">
        <f t="shared" si="1"/>
        <v>14494.78</v>
      </c>
      <c r="M11" s="252">
        <f t="shared" si="2"/>
        <v>2.035142533327525</v>
      </c>
      <c r="N11" s="111">
        <f>E11-серпень!E11</f>
        <v>1800</v>
      </c>
      <c r="O11" s="179">
        <f>F11-серпень!F11</f>
        <v>3498.540000000001</v>
      </c>
      <c r="P11" s="112">
        <f t="shared" si="6"/>
        <v>1698.5400000000009</v>
      </c>
      <c r="Q11" s="198">
        <f t="shared" si="7"/>
        <v>194.36333333333337</v>
      </c>
      <c r="R11" s="42"/>
      <c r="S11" s="100"/>
      <c r="T11" s="186">
        <f t="shared" si="8"/>
        <v>1485.0600000000013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5880.61</v>
      </c>
      <c r="F12" s="171">
        <v>7409.72</v>
      </c>
      <c r="G12" s="109">
        <f t="shared" si="0"/>
        <v>1529.1100000000006</v>
      </c>
      <c r="H12" s="32">
        <f t="shared" si="3"/>
        <v>126.00257456284298</v>
      </c>
      <c r="I12" s="110">
        <f t="shared" si="4"/>
        <v>909.7200000000003</v>
      </c>
      <c r="J12" s="110">
        <f t="shared" si="5"/>
        <v>113.99569230769231</v>
      </c>
      <c r="K12" s="112">
        <v>3744.64</v>
      </c>
      <c r="L12" s="112">
        <f t="shared" si="1"/>
        <v>3665.0800000000004</v>
      </c>
      <c r="M12" s="252">
        <f t="shared" si="2"/>
        <v>1.9787536318578023</v>
      </c>
      <c r="N12" s="111">
        <f>E12-серпень!E12</f>
        <v>480</v>
      </c>
      <c r="O12" s="179">
        <f>F12-серпень!F12</f>
        <v>723.3299999999999</v>
      </c>
      <c r="P12" s="112">
        <f t="shared" si="6"/>
        <v>243.32999999999993</v>
      </c>
      <c r="Q12" s="198">
        <f t="shared" si="7"/>
        <v>150.69375</v>
      </c>
      <c r="R12" s="42"/>
      <c r="S12" s="100"/>
      <c r="T12" s="186">
        <f t="shared" si="8"/>
        <v>619.3900000000003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9664.84</v>
      </c>
      <c r="F13" s="171">
        <v>7511.25</v>
      </c>
      <c r="G13" s="109">
        <f t="shared" si="0"/>
        <v>-2153.59</v>
      </c>
      <c r="H13" s="32">
        <f t="shared" si="3"/>
        <v>77.7172720914159</v>
      </c>
      <c r="I13" s="110">
        <f t="shared" si="4"/>
        <v>-4888.75</v>
      </c>
      <c r="J13" s="110">
        <f t="shared" si="5"/>
        <v>60.574596774193544</v>
      </c>
      <c r="K13" s="112">
        <v>5730.24</v>
      </c>
      <c r="L13" s="112">
        <f t="shared" si="1"/>
        <v>1781.0100000000002</v>
      </c>
      <c r="M13" s="252">
        <f t="shared" si="2"/>
        <v>1.3108089713519853</v>
      </c>
      <c r="N13" s="111">
        <f>E13-серпень!E13</f>
        <v>1300</v>
      </c>
      <c r="O13" s="179">
        <f>F13-серпень!F13</f>
        <v>494</v>
      </c>
      <c r="P13" s="112">
        <f t="shared" si="6"/>
        <v>-806</v>
      </c>
      <c r="Q13" s="198">
        <f t="shared" si="7"/>
        <v>38</v>
      </c>
      <c r="R13" s="42"/>
      <c r="S13" s="100"/>
      <c r="T13" s="186">
        <f t="shared" si="8"/>
        <v>2735.16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3448.04</v>
      </c>
      <c r="F14" s="171">
        <v>2638.91</v>
      </c>
      <c r="G14" s="109">
        <f t="shared" si="0"/>
        <v>-809.1300000000001</v>
      </c>
      <c r="H14" s="32">
        <f t="shared" si="3"/>
        <v>76.53362489994315</v>
      </c>
      <c r="I14" s="110">
        <f t="shared" si="4"/>
        <v>-841.0900000000001</v>
      </c>
      <c r="J14" s="110">
        <f t="shared" si="5"/>
        <v>75.83074712643678</v>
      </c>
      <c r="K14" s="112">
        <v>6961.36</v>
      </c>
      <c r="L14" s="112">
        <f t="shared" si="1"/>
        <v>-4322.45</v>
      </c>
      <c r="M14" s="252">
        <f t="shared" si="2"/>
        <v>0.3790796625946654</v>
      </c>
      <c r="N14" s="111">
        <f>E14-серпень!E14</f>
        <v>5</v>
      </c>
      <c r="O14" s="179">
        <f>F14-серпень!F14</f>
        <v>96.52999999999975</v>
      </c>
      <c r="P14" s="112">
        <f t="shared" si="6"/>
        <v>91.52999999999975</v>
      </c>
      <c r="Q14" s="198">
        <f t="shared" si="7"/>
        <v>1930.5999999999947</v>
      </c>
      <c r="R14" s="42"/>
      <c r="S14" s="100"/>
      <c r="T14" s="186">
        <f t="shared" si="8"/>
        <v>31.960000000000036</v>
      </c>
      <c r="U14" s="273">
        <v>2880</v>
      </c>
      <c r="V14" s="186">
        <f>U14-T14</f>
        <v>2848.04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370</v>
      </c>
      <c r="F15" s="196">
        <v>386.82</v>
      </c>
      <c r="G15" s="190">
        <f t="shared" si="0"/>
        <v>16.819999999999993</v>
      </c>
      <c r="H15" s="197">
        <f>F15/E15*100</f>
        <v>104.54594594594595</v>
      </c>
      <c r="I15" s="198">
        <f t="shared" si="4"/>
        <v>-113.18</v>
      </c>
      <c r="J15" s="198">
        <f t="shared" si="5"/>
        <v>77.364</v>
      </c>
      <c r="K15" s="201">
        <v>-666.69</v>
      </c>
      <c r="L15" s="201">
        <f t="shared" si="1"/>
        <v>1053.51</v>
      </c>
      <c r="M15" s="253">
        <f t="shared" si="2"/>
        <v>-0.5802096926607568</v>
      </c>
      <c r="N15" s="197">
        <f>E15-серпень!E15</f>
        <v>5</v>
      </c>
      <c r="O15" s="200">
        <f>F15-серпень!F15</f>
        <v>1.5600000000000023</v>
      </c>
      <c r="P15" s="201">
        <f t="shared" si="6"/>
        <v>-3.4399999999999977</v>
      </c>
      <c r="Q15" s="198">
        <f t="shared" si="7"/>
        <v>31.200000000000045</v>
      </c>
      <c r="R15" s="42"/>
      <c r="S15" s="100"/>
      <c r="T15" s="186">
        <f t="shared" si="8"/>
        <v>130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E16-серпень!E16</f>
        <v>0</v>
      </c>
      <c r="O16" s="200">
        <f>F16-серпень!F16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204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E17-серпень!E17</f>
        <v>0</v>
      </c>
      <c r="O17" s="200">
        <f>F17-серпень!F17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205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E18-серпень!E18</f>
        <v>0</v>
      </c>
      <c r="O18" s="200">
        <f>F18-серпень!F18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80060.4</v>
      </c>
      <c r="F19" s="196">
        <v>74352.8</v>
      </c>
      <c r="G19" s="190">
        <f t="shared" si="0"/>
        <v>-5707.599999999991</v>
      </c>
      <c r="H19" s="197">
        <f t="shared" si="3"/>
        <v>92.8708824837248</v>
      </c>
      <c r="I19" s="198">
        <f t="shared" si="4"/>
        <v>-35547.2</v>
      </c>
      <c r="J19" s="198">
        <f t="shared" si="5"/>
        <v>67.65495905368518</v>
      </c>
      <c r="K19" s="209">
        <v>51468.87</v>
      </c>
      <c r="L19" s="201">
        <f t="shared" si="1"/>
        <v>22883.93</v>
      </c>
      <c r="M19" s="259">
        <f t="shared" si="2"/>
        <v>1.4446169111542568</v>
      </c>
      <c r="N19" s="197">
        <f>E19-серпень!E19</f>
        <v>10800</v>
      </c>
      <c r="O19" s="200">
        <f>F19-серпень!F19</f>
        <v>9916.520000000004</v>
      </c>
      <c r="P19" s="201">
        <f t="shared" si="6"/>
        <v>-883.4799999999959</v>
      </c>
      <c r="Q19" s="198">
        <f aca="true" t="shared" si="9" ref="Q19:Q24">O19/N19*100</f>
        <v>91.81962962962966</v>
      </c>
      <c r="R19" s="113"/>
      <c r="S19" s="114"/>
      <c r="T19" s="186">
        <f t="shared" si="8"/>
        <v>29839.600000000006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315976.65</v>
      </c>
      <c r="E20" s="190">
        <f>E21+E30+E32+E29</f>
        <v>246235.94</v>
      </c>
      <c r="F20" s="272">
        <f>F21+F29+F30+F31+F32</f>
        <v>247866.66999999998</v>
      </c>
      <c r="G20" s="190">
        <f t="shared" si="0"/>
        <v>1630.7299999999814</v>
      </c>
      <c r="H20" s="197">
        <f t="shared" si="3"/>
        <v>100.66226319358577</v>
      </c>
      <c r="I20" s="198">
        <f t="shared" si="4"/>
        <v>-68109.98000000004</v>
      </c>
      <c r="J20" s="198">
        <f t="shared" si="5"/>
        <v>78.44461608159969</v>
      </c>
      <c r="K20" s="198">
        <v>160106.6</v>
      </c>
      <c r="L20" s="201">
        <f t="shared" si="1"/>
        <v>87760.06999999998</v>
      </c>
      <c r="M20" s="254">
        <f t="shared" si="2"/>
        <v>1.5481352423947543</v>
      </c>
      <c r="N20" s="197">
        <f>N21+N30+N31+N32</f>
        <v>18902.83</v>
      </c>
      <c r="O20" s="200">
        <f>F20-серпень!F20</f>
        <v>19191.709999999992</v>
      </c>
      <c r="P20" s="201">
        <f t="shared" si="6"/>
        <v>288.8799999999901</v>
      </c>
      <c r="Q20" s="198">
        <f t="shared" si="9"/>
        <v>101.5282367772444</v>
      </c>
      <c r="R20" s="113"/>
      <c r="S20" s="114"/>
      <c r="T20" s="186">
        <f t="shared" si="8"/>
        <v>69740.71000000002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134080.79</v>
      </c>
      <c r="F21" s="211">
        <f>F22+F25+F26</f>
        <v>135815.81</v>
      </c>
      <c r="G21" s="190">
        <f t="shared" si="0"/>
        <v>1735.0199999999895</v>
      </c>
      <c r="H21" s="197">
        <f t="shared" si="3"/>
        <v>101.29401087210181</v>
      </c>
      <c r="I21" s="198">
        <f t="shared" si="4"/>
        <v>-39083.84</v>
      </c>
      <c r="J21" s="198">
        <f t="shared" si="5"/>
        <v>77.65356305744466</v>
      </c>
      <c r="K21" s="198">
        <v>88979.33</v>
      </c>
      <c r="L21" s="201">
        <f t="shared" si="1"/>
        <v>46836.479999999996</v>
      </c>
      <c r="M21" s="254">
        <f t="shared" si="2"/>
        <v>1.5263748333461264</v>
      </c>
      <c r="N21" s="197">
        <f>N22+N25+N26</f>
        <v>13311.830000000004</v>
      </c>
      <c r="O21" s="200">
        <f>F21-серпень!F21</f>
        <v>14135.839999999997</v>
      </c>
      <c r="P21" s="201">
        <f t="shared" si="6"/>
        <v>824.0099999999929</v>
      </c>
      <c r="Q21" s="198">
        <f t="shared" si="9"/>
        <v>106.19005801606536</v>
      </c>
      <c r="R21" s="113"/>
      <c r="S21" s="114"/>
      <c r="T21" s="186">
        <f t="shared" si="8"/>
        <v>40818.859999999986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15124.48</v>
      </c>
      <c r="F22" s="213">
        <v>15758.82</v>
      </c>
      <c r="G22" s="212">
        <f t="shared" si="0"/>
        <v>634.3400000000001</v>
      </c>
      <c r="H22" s="214">
        <f t="shared" si="3"/>
        <v>104.19412766587676</v>
      </c>
      <c r="I22" s="215">
        <f t="shared" si="4"/>
        <v>-2741.1800000000003</v>
      </c>
      <c r="J22" s="215">
        <f t="shared" si="5"/>
        <v>85.1828108108108</v>
      </c>
      <c r="K22" s="216">
        <v>9131.68</v>
      </c>
      <c r="L22" s="206">
        <f t="shared" si="1"/>
        <v>6627.139999999999</v>
      </c>
      <c r="M22" s="262">
        <f t="shared" si="2"/>
        <v>1.7257306432113257</v>
      </c>
      <c r="N22" s="214">
        <f>E22-серпень!E22</f>
        <v>547.5799999999999</v>
      </c>
      <c r="O22" s="217">
        <f>F22-серпень!F22</f>
        <v>885.3500000000004</v>
      </c>
      <c r="P22" s="218">
        <f t="shared" si="6"/>
        <v>337.77000000000044</v>
      </c>
      <c r="Q22" s="215">
        <f t="shared" si="9"/>
        <v>161.68413747762892</v>
      </c>
      <c r="R22" s="113"/>
      <c r="S22" s="114"/>
      <c r="T22" s="186">
        <f t="shared" si="8"/>
        <v>3375.5200000000004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1024.4</v>
      </c>
      <c r="F23" s="203">
        <v>668.85</v>
      </c>
      <c r="G23" s="241">
        <f t="shared" si="0"/>
        <v>-355.55000000000007</v>
      </c>
      <c r="H23" s="242">
        <f t="shared" si="3"/>
        <v>65.29187817258882</v>
      </c>
      <c r="I23" s="243">
        <f t="shared" si="4"/>
        <v>-1331.15</v>
      </c>
      <c r="J23" s="243">
        <f t="shared" si="5"/>
        <v>33.4425</v>
      </c>
      <c r="K23" s="261">
        <v>574.07</v>
      </c>
      <c r="L23" s="261">
        <f t="shared" si="1"/>
        <v>94.77999999999997</v>
      </c>
      <c r="M23" s="263">
        <f t="shared" si="2"/>
        <v>1.1651018168516034</v>
      </c>
      <c r="N23" s="239">
        <f>E23-серпень!E23</f>
        <v>150.0000000000001</v>
      </c>
      <c r="O23" s="239">
        <f>F23-серпень!F23</f>
        <v>45.210000000000036</v>
      </c>
      <c r="P23" s="240">
        <f t="shared" si="6"/>
        <v>-104.79000000000008</v>
      </c>
      <c r="Q23" s="240">
        <f t="shared" si="9"/>
        <v>30.14</v>
      </c>
      <c r="R23" s="113"/>
      <c r="S23" s="114"/>
      <c r="T23" s="186">
        <f t="shared" si="8"/>
        <v>975.5999999999999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14100.08</v>
      </c>
      <c r="F24" s="203">
        <v>15089.97</v>
      </c>
      <c r="G24" s="241">
        <f t="shared" si="0"/>
        <v>989.8899999999994</v>
      </c>
      <c r="H24" s="242">
        <f t="shared" si="3"/>
        <v>107.02045662152271</v>
      </c>
      <c r="I24" s="243">
        <f t="shared" si="4"/>
        <v>-1410.0300000000007</v>
      </c>
      <c r="J24" s="243">
        <f t="shared" si="5"/>
        <v>91.45436363636364</v>
      </c>
      <c r="K24" s="261">
        <v>8557.61</v>
      </c>
      <c r="L24" s="261">
        <f t="shared" si="1"/>
        <v>6532.359999999999</v>
      </c>
      <c r="M24" s="263">
        <f t="shared" si="2"/>
        <v>1.7633392968363828</v>
      </c>
      <c r="N24" s="239">
        <f>E24-серпень!E24</f>
        <v>397.5799999999999</v>
      </c>
      <c r="O24" s="239">
        <f>F24-серпень!F24</f>
        <v>840.1399999999994</v>
      </c>
      <c r="P24" s="240">
        <f t="shared" si="6"/>
        <v>442.5599999999995</v>
      </c>
      <c r="Q24" s="240">
        <f t="shared" si="9"/>
        <v>211.31344635041995</v>
      </c>
      <c r="R24" s="113"/>
      <c r="S24" s="114"/>
      <c r="T24" s="186">
        <f t="shared" si="8"/>
        <v>2399.92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927.34</v>
      </c>
      <c r="F25" s="213">
        <v>777.34</v>
      </c>
      <c r="G25" s="212">
        <f t="shared" si="0"/>
        <v>-150</v>
      </c>
      <c r="H25" s="214">
        <f t="shared" si="3"/>
        <v>83.82470291371018</v>
      </c>
      <c r="I25" s="215">
        <f t="shared" si="4"/>
        <v>-222.65999999999997</v>
      </c>
      <c r="J25" s="215">
        <f t="shared" si="5"/>
        <v>77.73400000000001</v>
      </c>
      <c r="K25" s="215">
        <v>3333.63</v>
      </c>
      <c r="L25" s="215">
        <f t="shared" si="1"/>
        <v>-2556.29</v>
      </c>
      <c r="M25" s="257">
        <f t="shared" si="2"/>
        <v>0.23318124686902866</v>
      </c>
      <c r="N25" s="214">
        <f>E25-серпень!E25</f>
        <v>34.200000000000045</v>
      </c>
      <c r="O25" s="217">
        <f>F25-серпень!F25</f>
        <v>108.34000000000003</v>
      </c>
      <c r="P25" s="218">
        <f t="shared" si="6"/>
        <v>74.13999999999999</v>
      </c>
      <c r="Q25" s="215"/>
      <c r="R25" s="113"/>
      <c r="S25" s="114"/>
      <c r="T25" s="186">
        <f t="shared" si="8"/>
        <v>72.65999999999997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118028.97</v>
      </c>
      <c r="F26" s="213">
        <v>119279.65</v>
      </c>
      <c r="G26" s="212">
        <f t="shared" si="0"/>
        <v>1250.679999999993</v>
      </c>
      <c r="H26" s="214">
        <f t="shared" si="3"/>
        <v>101.05963815493773</v>
      </c>
      <c r="I26" s="215">
        <f t="shared" si="4"/>
        <v>-36120</v>
      </c>
      <c r="J26" s="215">
        <f t="shared" si="5"/>
        <v>76.7567044069919</v>
      </c>
      <c r="K26" s="216">
        <v>76514.01</v>
      </c>
      <c r="L26" s="216">
        <f t="shared" si="1"/>
        <v>42765.64</v>
      </c>
      <c r="M26" s="256">
        <f t="shared" si="2"/>
        <v>1.558925613753612</v>
      </c>
      <c r="N26" s="214">
        <f>E26-серпень!E26</f>
        <v>12730.050000000003</v>
      </c>
      <c r="O26" s="217">
        <f>F26-серпень!F26</f>
        <v>13142.149999999994</v>
      </c>
      <c r="P26" s="218">
        <f t="shared" si="6"/>
        <v>412.09999999999127</v>
      </c>
      <c r="Q26" s="215">
        <f>O26/N26*100</f>
        <v>103.23722216330644</v>
      </c>
      <c r="R26" s="113"/>
      <c r="S26" s="114"/>
      <c r="T26" s="186">
        <f t="shared" si="8"/>
        <v>37370.67999999999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36881.8</v>
      </c>
      <c r="F27" s="203">
        <v>37996.12</v>
      </c>
      <c r="G27" s="241">
        <f t="shared" si="0"/>
        <v>1114.3199999999997</v>
      </c>
      <c r="H27" s="242">
        <f t="shared" si="3"/>
        <v>103.0213275924711</v>
      </c>
      <c r="I27" s="243">
        <f t="shared" si="4"/>
        <v>-9370.879999999997</v>
      </c>
      <c r="J27" s="243">
        <f t="shared" si="5"/>
        <v>80.21643760423925</v>
      </c>
      <c r="K27" s="261">
        <v>20770.43</v>
      </c>
      <c r="L27" s="261">
        <f t="shared" si="1"/>
        <v>17225.690000000002</v>
      </c>
      <c r="M27" s="263">
        <f t="shared" si="2"/>
        <v>1.8293371875305424</v>
      </c>
      <c r="N27" s="239">
        <f>E27-серпень!E27</f>
        <v>3590.050000000003</v>
      </c>
      <c r="O27" s="239">
        <f>F27-серпень!F27</f>
        <v>3958.300000000003</v>
      </c>
      <c r="P27" s="240">
        <f t="shared" si="6"/>
        <v>368.25</v>
      </c>
      <c r="Q27" s="240">
        <f>O27/N27*100</f>
        <v>110.25751730477292</v>
      </c>
      <c r="R27" s="113"/>
      <c r="S27" s="114"/>
      <c r="T27" s="186">
        <f t="shared" si="8"/>
        <v>10485.199999999997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81147.17</v>
      </c>
      <c r="F28" s="203">
        <v>81283.52</v>
      </c>
      <c r="G28" s="241">
        <f t="shared" si="0"/>
        <v>136.35000000000582</v>
      </c>
      <c r="H28" s="242">
        <f t="shared" si="3"/>
        <v>100.16802804090396</v>
      </c>
      <c r="I28" s="243">
        <f t="shared" si="4"/>
        <v>-26749.12999999999</v>
      </c>
      <c r="J28" s="243">
        <f t="shared" si="5"/>
        <v>75.23977242065247</v>
      </c>
      <c r="K28" s="261">
        <v>55743.59</v>
      </c>
      <c r="L28" s="261">
        <f t="shared" si="1"/>
        <v>25539.930000000008</v>
      </c>
      <c r="M28" s="263">
        <f t="shared" si="2"/>
        <v>1.4581680153718124</v>
      </c>
      <c r="N28" s="239">
        <f>E28-серпень!E28</f>
        <v>9140</v>
      </c>
      <c r="O28" s="239">
        <f>F28-серпень!F28</f>
        <v>9183.850000000006</v>
      </c>
      <c r="P28" s="240">
        <f t="shared" si="6"/>
        <v>43.85000000000582</v>
      </c>
      <c r="Q28" s="240">
        <f>O28/N28*100</f>
        <v>100.47975929978124</v>
      </c>
      <c r="R28" s="113"/>
      <c r="S28" s="114"/>
      <c r="T28" s="186">
        <f t="shared" si="8"/>
        <v>26885.479999999996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197">
        <f>E29-серпень!E29</f>
        <v>0</v>
      </c>
      <c r="O29" s="200">
        <f>F29-серпень!F29</f>
        <v>0</v>
      </c>
      <c r="P29" s="201">
        <f t="shared" si="6"/>
        <v>0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55.31</v>
      </c>
      <c r="F30" s="196">
        <v>87.95</v>
      </c>
      <c r="G30" s="190">
        <f t="shared" si="0"/>
        <v>32.64</v>
      </c>
      <c r="H30" s="197">
        <f t="shared" si="3"/>
        <v>159.01283673838364</v>
      </c>
      <c r="I30" s="198">
        <f t="shared" si="4"/>
        <v>10.950000000000003</v>
      </c>
      <c r="J30" s="198">
        <f t="shared" si="5"/>
        <v>114.22077922077922</v>
      </c>
      <c r="K30" s="198">
        <v>55.85</v>
      </c>
      <c r="L30" s="198">
        <f t="shared" si="1"/>
        <v>32.1</v>
      </c>
      <c r="M30" s="255">
        <f>F30/K30</f>
        <v>1.5747538048343779</v>
      </c>
      <c r="N30" s="197">
        <f>E30-серпень!E30</f>
        <v>7</v>
      </c>
      <c r="O30" s="200">
        <f>F30-серпень!F30</f>
        <v>2</v>
      </c>
      <c r="P30" s="201">
        <f t="shared" si="6"/>
        <v>-5</v>
      </c>
      <c r="Q30" s="198">
        <f>O30/N30*100</f>
        <v>28.57142857142857</v>
      </c>
      <c r="R30" s="113"/>
      <c r="S30" s="114"/>
      <c r="T30" s="186">
        <f t="shared" si="8"/>
        <v>21.689999999999998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-160.1</v>
      </c>
      <c r="G31" s="190">
        <f t="shared" si="0"/>
        <v>-160.1</v>
      </c>
      <c r="H31" s="197"/>
      <c r="I31" s="198">
        <f t="shared" si="4"/>
        <v>-160.1</v>
      </c>
      <c r="J31" s="198"/>
      <c r="K31" s="198">
        <v>-705.98</v>
      </c>
      <c r="L31" s="198">
        <f t="shared" si="1"/>
        <v>545.88</v>
      </c>
      <c r="M31" s="255">
        <f>F31/K31</f>
        <v>0.2267769625201847</v>
      </c>
      <c r="N31" s="197">
        <f>E31-серпень!E31</f>
        <v>0</v>
      </c>
      <c r="O31" s="200">
        <f>F31-серпень!F31</f>
        <v>-9.870000000000005</v>
      </c>
      <c r="P31" s="201">
        <f t="shared" si="6"/>
        <v>-9.870000000000005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f>118000+23000</f>
        <v>141000</v>
      </c>
      <c r="E32" s="202">
        <f>110699.84+1500-100</f>
        <v>112099.84</v>
      </c>
      <c r="F32" s="203">
        <v>112122.86</v>
      </c>
      <c r="G32" s="202">
        <f t="shared" si="0"/>
        <v>23.020000000004075</v>
      </c>
      <c r="H32" s="204">
        <f t="shared" si="3"/>
        <v>100.020535265706</v>
      </c>
      <c r="I32" s="205">
        <f t="shared" si="4"/>
        <v>-28877.14</v>
      </c>
      <c r="J32" s="205">
        <f t="shared" si="5"/>
        <v>79.51975886524822</v>
      </c>
      <c r="K32" s="219">
        <v>71777.4</v>
      </c>
      <c r="L32" s="219">
        <f>F32-K32</f>
        <v>40345.46000000001</v>
      </c>
      <c r="M32" s="411">
        <f>F32/K32</f>
        <v>1.5620914103882282</v>
      </c>
      <c r="N32" s="197">
        <f>E32-серпень!E32</f>
        <v>5584</v>
      </c>
      <c r="O32" s="200">
        <f>F32-серпень!F32</f>
        <v>5063.740000000005</v>
      </c>
      <c r="P32" s="207">
        <f t="shared" si="6"/>
        <v>-520.2599999999948</v>
      </c>
      <c r="Q32" s="205">
        <f>O32/N32*100</f>
        <v>90.6830229226362</v>
      </c>
      <c r="R32" s="113"/>
      <c r="S32" s="114"/>
      <c r="T32" s="186">
        <f t="shared" si="8"/>
        <v>28900.160000000003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-1.17</v>
      </c>
      <c r="L33" s="142">
        <f t="shared" si="1"/>
        <v>1.4</v>
      </c>
      <c r="M33" s="264">
        <f aca="true" t="shared" si="10" ref="M33:M39">F33/K33</f>
        <v>-0.1965811965811966</v>
      </c>
      <c r="N33" s="111">
        <f>E33-серпень!E33</f>
        <v>0</v>
      </c>
      <c r="O33" s="179">
        <f>F33-серпень!F33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f>28217+6000</f>
        <v>34217</v>
      </c>
      <c r="E34" s="109">
        <f>27862.97+500</f>
        <v>28362.97</v>
      </c>
      <c r="F34" s="171">
        <v>28340.41</v>
      </c>
      <c r="G34" s="109">
        <f t="shared" si="0"/>
        <v>-22.56000000000131</v>
      </c>
      <c r="H34" s="111">
        <f t="shared" si="3"/>
        <v>99.92045966977365</v>
      </c>
      <c r="I34" s="110">
        <f t="shared" si="4"/>
        <v>-5876.59</v>
      </c>
      <c r="J34" s="110">
        <f t="shared" si="5"/>
        <v>82.82552532366952</v>
      </c>
      <c r="K34" s="142">
        <v>17739.76</v>
      </c>
      <c r="L34" s="142">
        <f t="shared" si="1"/>
        <v>10600.650000000001</v>
      </c>
      <c r="M34" s="264">
        <f t="shared" si="10"/>
        <v>1.597564454085061</v>
      </c>
      <c r="N34" s="111">
        <f>E34-серпень!E34</f>
        <v>1400</v>
      </c>
      <c r="O34" s="179">
        <f>F34-серпень!F34</f>
        <v>957.3299999999981</v>
      </c>
      <c r="P34" s="112">
        <f t="shared" si="6"/>
        <v>-442.6700000000019</v>
      </c>
      <c r="Q34" s="110">
        <f>O34/N34*100</f>
        <v>68.38071428571415</v>
      </c>
      <c r="R34" s="113"/>
      <c r="S34" s="114"/>
      <c r="T34" s="186">
        <f t="shared" si="8"/>
        <v>5854.029999999999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f>89732+17000</f>
        <v>106732</v>
      </c>
      <c r="E35" s="109">
        <f>82820.08+1000-100</f>
        <v>83720.08</v>
      </c>
      <c r="F35" s="171">
        <v>83755.8</v>
      </c>
      <c r="G35" s="109">
        <f t="shared" si="0"/>
        <v>35.720000000001164</v>
      </c>
      <c r="H35" s="111">
        <f t="shared" si="3"/>
        <v>100.04266598885239</v>
      </c>
      <c r="I35" s="110">
        <f t="shared" si="4"/>
        <v>-22976.199999999997</v>
      </c>
      <c r="J35" s="110">
        <f t="shared" si="5"/>
        <v>78.47299778885433</v>
      </c>
      <c r="K35" s="142">
        <v>54015.97</v>
      </c>
      <c r="L35" s="142">
        <f t="shared" si="1"/>
        <v>29739.83</v>
      </c>
      <c r="M35" s="264">
        <f t="shared" si="10"/>
        <v>1.550574765203698</v>
      </c>
      <c r="N35" s="111">
        <f>E35-серпень!E35</f>
        <v>4184</v>
      </c>
      <c r="O35" s="179">
        <f>F35-серпень!F35</f>
        <v>4105</v>
      </c>
      <c r="P35" s="112">
        <f t="shared" si="6"/>
        <v>-79</v>
      </c>
      <c r="Q35" s="110">
        <f>O35/N35*100</f>
        <v>98.11185468451242</v>
      </c>
      <c r="R35" s="113"/>
      <c r="S35" s="114"/>
      <c r="T35" s="186">
        <f t="shared" si="8"/>
        <v>23011.92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26.42</v>
      </c>
      <c r="G36" s="109">
        <f t="shared" si="0"/>
        <v>9.630000000000003</v>
      </c>
      <c r="H36" s="111">
        <f t="shared" si="3"/>
        <v>157.35556879094702</v>
      </c>
      <c r="I36" s="110">
        <f t="shared" si="4"/>
        <v>-24.58</v>
      </c>
      <c r="J36" s="110">
        <f t="shared" si="5"/>
        <v>51.80392156862745</v>
      </c>
      <c r="K36" s="142">
        <v>22.84</v>
      </c>
      <c r="L36" s="142">
        <f t="shared" si="1"/>
        <v>3.580000000000002</v>
      </c>
      <c r="M36" s="264">
        <f t="shared" si="10"/>
        <v>1.1567425569176883</v>
      </c>
      <c r="N36" s="111">
        <f>E36-серпень!E36</f>
        <v>0</v>
      </c>
      <c r="O36" s="179">
        <f>F36-серпень!F36</f>
        <v>1.4200000000000017</v>
      </c>
      <c r="P36" s="112">
        <f t="shared" si="6"/>
        <v>1.4200000000000017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5579.18</v>
      </c>
      <c r="L37" s="132">
        <f t="shared" si="1"/>
        <v>-5579.18</v>
      </c>
      <c r="M37" s="265">
        <f t="shared" si="10"/>
        <v>0</v>
      </c>
      <c r="N37" s="32">
        <v>0</v>
      </c>
      <c r="O37" s="179">
        <f>F37-серпень!F37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61842.48</v>
      </c>
      <c r="E38" s="191">
        <f>E39+E40+E41+E42+E43+E45+E47+E48+E49+E50+E51+E56+E57+E61+E44</f>
        <v>49125.03</v>
      </c>
      <c r="F38" s="191">
        <f>F39+F40+F41+F42+F43+F45+F47+F48+F49+F50+F51+F56+F57+F61+F44</f>
        <v>49446.89000000001</v>
      </c>
      <c r="G38" s="191">
        <f>G39+G40+G41+G42+G43+G45+G47+G48+G49+G50+G51+G56+G57+G61</f>
        <v>294.7100000000019</v>
      </c>
      <c r="H38" s="192">
        <f>F38/E38*100</f>
        <v>100.65518535052296</v>
      </c>
      <c r="I38" s="193">
        <f>F38-D38</f>
        <v>-12395.589999999997</v>
      </c>
      <c r="J38" s="193">
        <f>F38/D38*100</f>
        <v>79.95618869100981</v>
      </c>
      <c r="K38" s="191">
        <v>28244.63</v>
      </c>
      <c r="L38" s="191">
        <f t="shared" si="1"/>
        <v>21202.260000000006</v>
      </c>
      <c r="M38" s="250">
        <f t="shared" si="10"/>
        <v>1.7506651706890834</v>
      </c>
      <c r="N38" s="191">
        <f>N39+N40+N41+N42+N43+N45+N47+N48+N49+N50+N51+N56+N57+N61+N44</f>
        <v>6064</v>
      </c>
      <c r="O38" s="191">
        <f>O39+O40+O41+O42+O43+O45+O47+O48+O49+O50+O51+O56+O57+O61+O44</f>
        <v>6458.610000000001</v>
      </c>
      <c r="P38" s="191">
        <f>P39+P40+P41+P42+P43+P45+P47+P48+P49+P50+P51+P56+P57+P61</f>
        <v>394.61000000000104</v>
      </c>
      <c r="Q38" s="191">
        <f>O38/N38*100</f>
        <v>106.50742084432719</v>
      </c>
      <c r="R38" s="15" t="e">
        <f>#N/A</f>
        <v>#N/A</v>
      </c>
      <c r="S38" s="15" t="e">
        <f>#N/A</f>
        <v>#N/A</v>
      </c>
      <c r="T38" s="186">
        <f t="shared" si="8"/>
        <v>12717.450000000004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383</v>
      </c>
      <c r="F39" s="196">
        <v>420.88</v>
      </c>
      <c r="G39" s="202">
        <f>F39-E39</f>
        <v>37.879999999999995</v>
      </c>
      <c r="H39" s="204">
        <f aca="true" t="shared" si="11" ref="H39:H62">F39/E39*100</f>
        <v>109.89033942558746</v>
      </c>
      <c r="I39" s="205">
        <f>F39-D39</f>
        <v>20.879999999999995</v>
      </c>
      <c r="J39" s="205">
        <f>F39/D39*100</f>
        <v>105.22</v>
      </c>
      <c r="K39" s="205">
        <v>-60.36</v>
      </c>
      <c r="L39" s="205">
        <f t="shared" si="1"/>
        <v>481.24</v>
      </c>
      <c r="M39" s="266">
        <f t="shared" si="10"/>
        <v>-6.972829688535454</v>
      </c>
      <c r="N39" s="204">
        <f>E39-серпень!E39</f>
        <v>3</v>
      </c>
      <c r="O39" s="208">
        <f>F39-серпень!F39</f>
        <v>4.0400000000000205</v>
      </c>
      <c r="P39" s="207">
        <f>O39-N39</f>
        <v>1.0400000000000205</v>
      </c>
      <c r="Q39" s="205">
        <f aca="true" t="shared" si="12" ref="Q39:Q62">O39/N39*100</f>
        <v>134.66666666666737</v>
      </c>
      <c r="R39" s="42"/>
      <c r="S39" s="100"/>
      <c r="T39" s="186">
        <f t="shared" si="8"/>
        <v>17</v>
      </c>
    </row>
    <row r="40" spans="1:20" s="6" customFormat="1" ht="30.75">
      <c r="A40" s="8"/>
      <c r="B40" s="144" t="s">
        <v>80</v>
      </c>
      <c r="C40" s="47">
        <v>21050000</v>
      </c>
      <c r="D40" s="190">
        <f>25000+5007</f>
        <v>30007</v>
      </c>
      <c r="E40" s="190">
        <f>23237+929</f>
        <v>24166</v>
      </c>
      <c r="F40" s="196">
        <v>24166.13</v>
      </c>
      <c r="G40" s="202">
        <f aca="true" t="shared" si="13" ref="G40:G63">F40-E40</f>
        <v>0.13000000000101863</v>
      </c>
      <c r="H40" s="204">
        <f t="shared" si="11"/>
        <v>100.00053794587438</v>
      </c>
      <c r="I40" s="205">
        <f aca="true" t="shared" si="14" ref="I40:I63">F40-D40</f>
        <v>-5840.869999999999</v>
      </c>
      <c r="J40" s="205">
        <f>F40/D40*100</f>
        <v>80.53497517245977</v>
      </c>
      <c r="K40" s="205">
        <v>4154.01</v>
      </c>
      <c r="L40" s="205">
        <f t="shared" si="1"/>
        <v>20012.120000000003</v>
      </c>
      <c r="M40" s="266"/>
      <c r="N40" s="204">
        <f>E40-серпень!E40</f>
        <v>3699</v>
      </c>
      <c r="O40" s="208">
        <f>F40-серпень!F40-0.01</f>
        <v>3605.9400000000005</v>
      </c>
      <c r="P40" s="207">
        <f aca="true" t="shared" si="15" ref="P40:P63">O40-N40</f>
        <v>-93.05999999999949</v>
      </c>
      <c r="Q40" s="205">
        <f t="shared" si="12"/>
        <v>97.48418491484186</v>
      </c>
      <c r="R40" s="42"/>
      <c r="S40" s="100"/>
      <c r="T40" s="186">
        <f t="shared" si="8"/>
        <v>5841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31.98</v>
      </c>
      <c r="G41" s="202">
        <f t="shared" si="13"/>
        <v>-79.46</v>
      </c>
      <c r="H41" s="204">
        <f t="shared" si="11"/>
        <v>28.697056712132092</v>
      </c>
      <c r="I41" s="205">
        <f t="shared" si="14"/>
        <v>-79.46</v>
      </c>
      <c r="J41" s="205">
        <f aca="true" t="shared" si="16" ref="J41:J62">F41/D41*100</f>
        <v>28.697056712132092</v>
      </c>
      <c r="K41" s="205">
        <v>321.98</v>
      </c>
      <c r="L41" s="205">
        <f t="shared" si="1"/>
        <v>-290</v>
      </c>
      <c r="M41" s="266">
        <f aca="true" t="shared" si="17" ref="M41:M63">F41/K41</f>
        <v>0.0993229393130008</v>
      </c>
      <c r="N41" s="204">
        <f>E41-серпень!E41</f>
        <v>0</v>
      </c>
      <c r="O41" s="208">
        <f>F41-серпень!F41</f>
        <v>3.91</v>
      </c>
      <c r="P41" s="207">
        <f t="shared" si="15"/>
        <v>3.91</v>
      </c>
      <c r="Q41" s="205"/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E42-серпень!E42</f>
        <v>0</v>
      </c>
      <c r="O42" s="208">
        <f>F42-серпень!F42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90</v>
      </c>
      <c r="F43" s="196">
        <v>197.12</v>
      </c>
      <c r="G43" s="202">
        <f t="shared" si="13"/>
        <v>107.12</v>
      </c>
      <c r="H43" s="204">
        <f t="shared" si="11"/>
        <v>219.02222222222224</v>
      </c>
      <c r="I43" s="205">
        <f t="shared" si="14"/>
        <v>47.120000000000005</v>
      </c>
      <c r="J43" s="205">
        <f t="shared" si="16"/>
        <v>131.41333333333333</v>
      </c>
      <c r="K43" s="205">
        <v>117.11</v>
      </c>
      <c r="L43" s="205">
        <f t="shared" si="1"/>
        <v>80.01</v>
      </c>
      <c r="M43" s="266">
        <f t="shared" si="17"/>
        <v>1.6832038254632398</v>
      </c>
      <c r="N43" s="204">
        <f>E43-серпень!E43</f>
        <v>10</v>
      </c>
      <c r="O43" s="208">
        <f>F43-серпень!F43</f>
        <v>2</v>
      </c>
      <c r="P43" s="207">
        <f t="shared" si="15"/>
        <v>-8</v>
      </c>
      <c r="Q43" s="205">
        <f t="shared" si="12"/>
        <v>20</v>
      </c>
      <c r="R43" s="42"/>
      <c r="S43" s="100"/>
      <c r="T43" s="186">
        <f t="shared" si="8"/>
        <v>60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4</v>
      </c>
      <c r="L44" s="205">
        <f t="shared" si="1"/>
        <v>37.15</v>
      </c>
      <c r="M44" s="266">
        <f t="shared" si="17"/>
        <v>10.2875</v>
      </c>
      <c r="N44" s="204">
        <f>E44-серпень!E44</f>
        <v>0</v>
      </c>
      <c r="O44" s="208">
        <f>F44-серпень!F44</f>
        <v>0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264</v>
      </c>
      <c r="F45" s="196">
        <v>428.63</v>
      </c>
      <c r="G45" s="202">
        <f t="shared" si="13"/>
        <v>164.63</v>
      </c>
      <c r="H45" s="204">
        <f t="shared" si="11"/>
        <v>162.35984848484847</v>
      </c>
      <c r="I45" s="205">
        <f t="shared" si="14"/>
        <v>128.63</v>
      </c>
      <c r="J45" s="205">
        <f t="shared" si="16"/>
        <v>142.87666666666667</v>
      </c>
      <c r="K45" s="205">
        <v>0</v>
      </c>
      <c r="L45" s="205">
        <f t="shared" si="1"/>
        <v>428.63</v>
      </c>
      <c r="M45" s="266"/>
      <c r="N45" s="204">
        <f>E45-серпень!E45</f>
        <v>8</v>
      </c>
      <c r="O45" s="208">
        <f>F45-серпень!F45</f>
        <v>100.51999999999998</v>
      </c>
      <c r="P45" s="207">
        <f t="shared" si="15"/>
        <v>92.51999999999998</v>
      </c>
      <c r="Q45" s="205">
        <f t="shared" si="12"/>
        <v>1256.4999999999998</v>
      </c>
      <c r="R45" s="42"/>
      <c r="S45" s="100"/>
      <c r="T45" s="186">
        <f t="shared" si="8"/>
        <v>36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E46-серпень!E46</f>
        <v>0</v>
      </c>
      <c r="O46" s="208">
        <f>F46-серпень!F46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7849.02</v>
      </c>
      <c r="F47" s="196">
        <v>8067.74</v>
      </c>
      <c r="G47" s="202">
        <f t="shared" si="13"/>
        <v>218.71999999999935</v>
      </c>
      <c r="H47" s="204">
        <f t="shared" si="11"/>
        <v>102.78658991823181</v>
      </c>
      <c r="I47" s="205">
        <f t="shared" si="14"/>
        <v>-1832.2600000000002</v>
      </c>
      <c r="J47" s="205">
        <f t="shared" si="16"/>
        <v>81.49232323232323</v>
      </c>
      <c r="K47" s="205">
        <v>7605.46</v>
      </c>
      <c r="L47" s="205">
        <f t="shared" si="1"/>
        <v>462.27999999999975</v>
      </c>
      <c r="M47" s="266">
        <f t="shared" si="17"/>
        <v>1.0607826482553324</v>
      </c>
      <c r="N47" s="204">
        <f>E47-серпень!E47</f>
        <v>800</v>
      </c>
      <c r="O47" s="208">
        <f>F47-серпень!F47</f>
        <v>1005.0999999999995</v>
      </c>
      <c r="P47" s="207">
        <f t="shared" si="15"/>
        <v>205.09999999999945</v>
      </c>
      <c r="Q47" s="205">
        <f t="shared" si="12"/>
        <v>125.63749999999993</v>
      </c>
      <c r="R47" s="42"/>
      <c r="S47" s="100"/>
      <c r="T47" s="186">
        <f t="shared" si="8"/>
        <v>2050.9799999999996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210.12</v>
      </c>
      <c r="G48" s="202">
        <f t="shared" si="13"/>
        <v>-439.88</v>
      </c>
      <c r="H48" s="204">
        <f t="shared" si="11"/>
        <v>32.32615384615385</v>
      </c>
      <c r="I48" s="205">
        <f t="shared" si="14"/>
        <v>-439.88</v>
      </c>
      <c r="J48" s="205">
        <f t="shared" si="16"/>
        <v>32.32615384615385</v>
      </c>
      <c r="K48" s="205">
        <v>0</v>
      </c>
      <c r="L48" s="205">
        <f t="shared" si="1"/>
        <v>210.12</v>
      </c>
      <c r="M48" s="266"/>
      <c r="N48" s="204">
        <f>E48-серпень!E48</f>
        <v>0</v>
      </c>
      <c r="O48" s="208">
        <f>F48-серпень!F48</f>
        <v>41.860000000000014</v>
      </c>
      <c r="P48" s="207">
        <f t="shared" si="15"/>
        <v>41.860000000000014</v>
      </c>
      <c r="Q48" s="205"/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32</v>
      </c>
      <c r="F49" s="196">
        <v>16.68</v>
      </c>
      <c r="G49" s="202">
        <f t="shared" si="13"/>
        <v>-15.32</v>
      </c>
      <c r="H49" s="204">
        <f t="shared" si="11"/>
        <v>52.125</v>
      </c>
      <c r="I49" s="205">
        <f t="shared" si="14"/>
        <v>-33.32</v>
      </c>
      <c r="J49" s="205">
        <f t="shared" si="16"/>
        <v>33.36</v>
      </c>
      <c r="K49" s="205">
        <v>0</v>
      </c>
      <c r="L49" s="205">
        <f t="shared" si="1"/>
        <v>16.68</v>
      </c>
      <c r="M49" s="266"/>
      <c r="N49" s="204">
        <f>E49-серпень!E49</f>
        <v>4</v>
      </c>
      <c r="O49" s="208">
        <f>F49-серпень!F49</f>
        <v>1.2400000000000002</v>
      </c>
      <c r="P49" s="207">
        <f t="shared" si="15"/>
        <v>-2.76</v>
      </c>
      <c r="Q49" s="205">
        <f t="shared" si="12"/>
        <v>31.000000000000007</v>
      </c>
      <c r="R49" s="42"/>
      <c r="S49" s="100"/>
      <c r="T49" s="186">
        <f t="shared" si="8"/>
        <v>18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5916.23</v>
      </c>
      <c r="F50" s="196">
        <v>5625.22</v>
      </c>
      <c r="G50" s="202">
        <f t="shared" si="13"/>
        <v>-291.0099999999993</v>
      </c>
      <c r="H50" s="204">
        <f t="shared" si="11"/>
        <v>95.08115810237264</v>
      </c>
      <c r="I50" s="205">
        <f t="shared" si="14"/>
        <v>-2374.7799999999997</v>
      </c>
      <c r="J50" s="205">
        <f t="shared" si="16"/>
        <v>70.31525</v>
      </c>
      <c r="K50" s="205">
        <v>6785.09</v>
      </c>
      <c r="L50" s="205">
        <f t="shared" si="1"/>
        <v>-1159.87</v>
      </c>
      <c r="M50" s="266">
        <f t="shared" si="17"/>
        <v>0.8290560626314464</v>
      </c>
      <c r="N50" s="204">
        <f>E50-серпень!E50</f>
        <v>650</v>
      </c>
      <c r="O50" s="208">
        <f>F50-серпень!F50</f>
        <v>557.0300000000007</v>
      </c>
      <c r="P50" s="207">
        <f t="shared" si="15"/>
        <v>-92.96999999999935</v>
      </c>
      <c r="Q50" s="205">
        <f t="shared" si="12"/>
        <v>85.69692307692318</v>
      </c>
      <c r="R50" s="42"/>
      <c r="S50" s="100"/>
      <c r="T50" s="186">
        <f t="shared" si="8"/>
        <v>2083.7700000000004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4911.19</v>
      </c>
      <c r="F51" s="196">
        <v>4925.62</v>
      </c>
      <c r="G51" s="202">
        <f t="shared" si="13"/>
        <v>14.430000000000291</v>
      </c>
      <c r="H51" s="204">
        <f t="shared" si="11"/>
        <v>100.29381880969785</v>
      </c>
      <c r="I51" s="205">
        <f t="shared" si="14"/>
        <v>-2074.42</v>
      </c>
      <c r="J51" s="205">
        <f t="shared" si="16"/>
        <v>70.36559791086908</v>
      </c>
      <c r="K51" s="205">
        <v>5721.95</v>
      </c>
      <c r="L51" s="205">
        <f t="shared" si="1"/>
        <v>-796.3299999999999</v>
      </c>
      <c r="M51" s="266">
        <f t="shared" si="17"/>
        <v>0.8608289132201435</v>
      </c>
      <c r="N51" s="204">
        <f>E51-серпень!E51</f>
        <v>520</v>
      </c>
      <c r="O51" s="208">
        <f>F51-серпень!F51</f>
        <v>578.0100000000002</v>
      </c>
      <c r="P51" s="207">
        <f t="shared" si="15"/>
        <v>58.01000000000022</v>
      </c>
      <c r="Q51" s="205">
        <f t="shared" si="12"/>
        <v>111.15576923076927</v>
      </c>
      <c r="R51" s="42"/>
      <c r="S51" s="100"/>
      <c r="T51" s="186">
        <f t="shared" si="8"/>
        <v>2088.8500000000004</v>
      </c>
    </row>
    <row r="52" spans="1:20" s="6" customFormat="1" ht="15">
      <c r="A52" s="8"/>
      <c r="B52" s="55" t="s">
        <v>101</v>
      </c>
      <c r="C52" s="138">
        <v>22090100</v>
      </c>
      <c r="D52" s="109">
        <v>970</v>
      </c>
      <c r="E52" s="109">
        <v>683.99</v>
      </c>
      <c r="F52" s="171">
        <v>643.11</v>
      </c>
      <c r="G52" s="36">
        <f t="shared" si="13"/>
        <v>-40.879999999999995</v>
      </c>
      <c r="H52" s="32">
        <f t="shared" si="11"/>
        <v>94.02330443427536</v>
      </c>
      <c r="I52" s="110">
        <f t="shared" si="14"/>
        <v>-326.89</v>
      </c>
      <c r="J52" s="110">
        <f t="shared" si="16"/>
        <v>66.3</v>
      </c>
      <c r="K52" s="110">
        <v>801.84</v>
      </c>
      <c r="L52" s="110">
        <f>F52-K52</f>
        <v>-158.73000000000002</v>
      </c>
      <c r="M52" s="115">
        <f t="shared" si="17"/>
        <v>0.8020428015564203</v>
      </c>
      <c r="N52" s="111">
        <f>E52-серпень!E52</f>
        <v>20</v>
      </c>
      <c r="O52" s="179">
        <f>F52-серпень!F52</f>
        <v>72.98000000000002</v>
      </c>
      <c r="P52" s="112">
        <f t="shared" si="15"/>
        <v>52.98000000000002</v>
      </c>
      <c r="Q52" s="132">
        <f t="shared" si="12"/>
        <v>364.9000000000001</v>
      </c>
      <c r="R52" s="42"/>
      <c r="S52" s="100"/>
      <c r="T52" s="186">
        <f t="shared" si="8"/>
        <v>286.01</v>
      </c>
    </row>
    <row r="53" spans="1:20" s="6" customFormat="1" ht="15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44.07</v>
      </c>
      <c r="L53" s="110">
        <f>F53-K53</f>
        <v>-43.8</v>
      </c>
      <c r="M53" s="115">
        <f t="shared" si="17"/>
        <v>0.006126616746085773</v>
      </c>
      <c r="N53" s="111">
        <f>E53-серпень!E53</f>
        <v>0</v>
      </c>
      <c r="O53" s="179">
        <f>F53-серпень!F53</f>
        <v>0</v>
      </c>
      <c r="P53" s="112">
        <f t="shared" si="15"/>
        <v>0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E54-серпень!E54</f>
        <v>0</v>
      </c>
      <c r="O54" s="179">
        <f>F54-серпень!F54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>
      <c r="A55" s="8"/>
      <c r="B55" s="55" t="s">
        <v>100</v>
      </c>
      <c r="C55" s="138">
        <v>22090400</v>
      </c>
      <c r="D55" s="109">
        <v>6024</v>
      </c>
      <c r="E55" s="109">
        <v>4222.17</v>
      </c>
      <c r="F55" s="171">
        <v>4282.22</v>
      </c>
      <c r="G55" s="36">
        <f t="shared" si="13"/>
        <v>60.05000000000018</v>
      </c>
      <c r="H55" s="32">
        <f t="shared" si="11"/>
        <v>101.42225443314695</v>
      </c>
      <c r="I55" s="110">
        <f t="shared" si="14"/>
        <v>-1741.7799999999997</v>
      </c>
      <c r="J55" s="110">
        <f t="shared" si="16"/>
        <v>71.08598937583001</v>
      </c>
      <c r="K55" s="110">
        <v>4875.29</v>
      </c>
      <c r="L55" s="110">
        <f>F55-K55</f>
        <v>-593.0699999999997</v>
      </c>
      <c r="M55" s="115">
        <f t="shared" si="17"/>
        <v>0.8783518518898363</v>
      </c>
      <c r="N55" s="111">
        <f>E55-серпень!E55</f>
        <v>500</v>
      </c>
      <c r="O55" s="179">
        <f>F55-серпень!F55</f>
        <v>505.0300000000002</v>
      </c>
      <c r="P55" s="112">
        <f t="shared" si="15"/>
        <v>5.0300000000002</v>
      </c>
      <c r="Q55" s="132">
        <f t="shared" si="12"/>
        <v>101.00600000000004</v>
      </c>
      <c r="R55" s="42"/>
      <c r="S55" s="100"/>
      <c r="T55" s="186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3.89</v>
      </c>
      <c r="L56" s="205">
        <f>F56-K56</f>
        <v>-1.4300000000000002</v>
      </c>
      <c r="M56" s="266">
        <f t="shared" si="17"/>
        <v>0.6323907455012853</v>
      </c>
      <c r="N56" s="204">
        <f>E56-серпень!E56</f>
        <v>0</v>
      </c>
      <c r="O56" s="208">
        <f>F56-серпень!F56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4637.98</v>
      </c>
      <c r="F57" s="196">
        <v>5154.13</v>
      </c>
      <c r="G57" s="202">
        <f t="shared" si="13"/>
        <v>516.1500000000005</v>
      </c>
      <c r="H57" s="204">
        <f t="shared" si="11"/>
        <v>111.12876726505938</v>
      </c>
      <c r="I57" s="205">
        <f t="shared" si="14"/>
        <v>4.130000000000109</v>
      </c>
      <c r="J57" s="205">
        <f t="shared" si="16"/>
        <v>100.08019417475728</v>
      </c>
      <c r="K57" s="205">
        <v>3571.45</v>
      </c>
      <c r="L57" s="205">
        <f aca="true" t="shared" si="18" ref="L57:L63">F57-K57</f>
        <v>1582.6800000000003</v>
      </c>
      <c r="M57" s="266">
        <f t="shared" si="17"/>
        <v>1.4431477411135534</v>
      </c>
      <c r="N57" s="204">
        <f>E57-серпень!E57</f>
        <v>370</v>
      </c>
      <c r="O57" s="208">
        <f>F57-серпень!F57</f>
        <v>552.3000000000002</v>
      </c>
      <c r="P57" s="207">
        <f t="shared" si="15"/>
        <v>182.30000000000018</v>
      </c>
      <c r="Q57" s="205">
        <f t="shared" si="12"/>
        <v>149.27027027027032</v>
      </c>
      <c r="R57" s="42"/>
      <c r="S57" s="100"/>
      <c r="T57" s="186">
        <f t="shared" si="8"/>
        <v>512.0200000000004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E58-серпень!E58</f>
        <v>0</v>
      </c>
      <c r="O58" s="208">
        <f>F58-серпень!F58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1002.35</v>
      </c>
      <c r="G59" s="202"/>
      <c r="H59" s="204"/>
      <c r="I59" s="205"/>
      <c r="J59" s="205"/>
      <c r="K59" s="206">
        <v>979.24</v>
      </c>
      <c r="L59" s="205">
        <f t="shared" si="18"/>
        <v>23.110000000000014</v>
      </c>
      <c r="M59" s="266">
        <f t="shared" si="17"/>
        <v>1.0235999346431928</v>
      </c>
      <c r="N59" s="204"/>
      <c r="O59" s="208">
        <f>F59-серпень!F59</f>
        <v>112.55000000000007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E60-серпень!E60</f>
        <v>0</v>
      </c>
      <c r="O60" s="208">
        <f>F60-серпень!F60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158.93</v>
      </c>
      <c r="G61" s="202">
        <f t="shared" si="13"/>
        <v>58.93000000000001</v>
      </c>
      <c r="H61" s="204">
        <f t="shared" si="11"/>
        <v>158.93</v>
      </c>
      <c r="I61" s="205">
        <f t="shared" si="14"/>
        <v>58.93000000000001</v>
      </c>
      <c r="J61" s="205">
        <f t="shared" si="16"/>
        <v>158.93</v>
      </c>
      <c r="K61" s="205">
        <v>20.05</v>
      </c>
      <c r="L61" s="205">
        <f t="shared" si="18"/>
        <v>138.88</v>
      </c>
      <c r="M61" s="266">
        <f t="shared" si="17"/>
        <v>7.926683291770574</v>
      </c>
      <c r="N61" s="204">
        <f>E61-серпень!E61</f>
        <v>0</v>
      </c>
      <c r="O61" s="208">
        <f>F61-серпень!F61</f>
        <v>6.659999999999997</v>
      </c>
      <c r="P61" s="207">
        <f t="shared" si="15"/>
        <v>6.659999999999997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19.1</v>
      </c>
      <c r="F62" s="196">
        <v>13.52</v>
      </c>
      <c r="G62" s="202">
        <f t="shared" si="13"/>
        <v>-5.580000000000002</v>
      </c>
      <c r="H62" s="204">
        <f t="shared" si="11"/>
        <v>70.7853403141361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E62-серпень!E62</f>
        <v>2.3000000000000007</v>
      </c>
      <c r="O62" s="208">
        <f>F62-серпень!F62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10.899999999999999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1.02</v>
      </c>
      <c r="G63" s="202">
        <f t="shared" si="13"/>
        <v>0.8200000000000001</v>
      </c>
      <c r="H63" s="204"/>
      <c r="I63" s="205">
        <f t="shared" si="14"/>
        <v>0.21999999999999997</v>
      </c>
      <c r="J63" s="205"/>
      <c r="K63" s="205">
        <v>0.31</v>
      </c>
      <c r="L63" s="205">
        <f t="shared" si="18"/>
        <v>0.71</v>
      </c>
      <c r="M63" s="266">
        <f t="shared" si="17"/>
        <v>3.2903225806451615</v>
      </c>
      <c r="N63" s="204">
        <f>E63-серпень!E63</f>
        <v>0</v>
      </c>
      <c r="O63" s="208">
        <f>F63-серпень!F63</f>
        <v>-0.010000000000000009</v>
      </c>
      <c r="P63" s="207">
        <f t="shared" si="15"/>
        <v>-0.010000000000000009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1018944.7300000001</v>
      </c>
      <c r="E64" s="191">
        <f>E8+E38+E62+E63</f>
        <v>754995.14</v>
      </c>
      <c r="F64" s="191">
        <f>F8+F38+F62+F63</f>
        <v>757500.1000000001</v>
      </c>
      <c r="G64" s="191">
        <f>F64-E64</f>
        <v>2504.960000000079</v>
      </c>
      <c r="H64" s="192">
        <f>F64/E64*100</f>
        <v>100.33178491718505</v>
      </c>
      <c r="I64" s="193">
        <f>F64-D64</f>
        <v>-261444.63</v>
      </c>
      <c r="J64" s="193">
        <f>F64/D64*100</f>
        <v>74.34162793108513</v>
      </c>
      <c r="K64" s="193">
        <v>509138.63</v>
      </c>
      <c r="L64" s="193">
        <f>F64-K64</f>
        <v>248361.4700000001</v>
      </c>
      <c r="M64" s="267">
        <f>F64/K64</f>
        <v>1.4878071616761825</v>
      </c>
      <c r="N64" s="191">
        <f>N8+N38+N62+N63</f>
        <v>82559.13</v>
      </c>
      <c r="O64" s="191">
        <f>O8+O38+O62+O63</f>
        <v>80976.43999999999</v>
      </c>
      <c r="P64" s="195">
        <f>O64-N64</f>
        <v>-1582.6900000000169</v>
      </c>
      <c r="Q64" s="193">
        <f>O64/N64*100</f>
        <v>98.08296187229683</v>
      </c>
      <c r="R64" s="28">
        <f>O64-34768</f>
        <v>46208.43999999999</v>
      </c>
      <c r="S64" s="128">
        <f>O64/34768</f>
        <v>2.32905085135757</v>
      </c>
      <c r="T64" s="186">
        <f t="shared" si="8"/>
        <v>263949.5900000001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F69-серпень!F69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-51.7</v>
      </c>
      <c r="L70" s="207">
        <f>F70-K70</f>
        <v>47.870000000000005</v>
      </c>
      <c r="M70" s="254">
        <f>F70/K70</f>
        <v>0.07408123791102514</v>
      </c>
      <c r="N70" s="204"/>
      <c r="O70" s="223">
        <f>F70-серпень!F70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-51.7</v>
      </c>
      <c r="L71" s="228">
        <f>F71-K71</f>
        <v>47.88</v>
      </c>
      <c r="M71" s="260">
        <f>F71/K71</f>
        <v>0.07388781431334623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2700</v>
      </c>
      <c r="F73" s="222">
        <v>1553.95</v>
      </c>
      <c r="G73" s="202">
        <f aca="true" t="shared" si="19" ref="G73:G83">F73-E73</f>
        <v>-1146.05</v>
      </c>
      <c r="H73" s="204"/>
      <c r="I73" s="207">
        <f aca="true" t="shared" si="20" ref="I73:I83">F73-D73</f>
        <v>-2646.05</v>
      </c>
      <c r="J73" s="207">
        <f>F73/D73*100</f>
        <v>36.99880952380952</v>
      </c>
      <c r="K73" s="207">
        <v>593.1</v>
      </c>
      <c r="L73" s="207">
        <f aca="true" t="shared" si="21" ref="L73:L83">F73-K73</f>
        <v>960.85</v>
      </c>
      <c r="M73" s="254">
        <f>F73/K73</f>
        <v>2.6200472095768</v>
      </c>
      <c r="N73" s="204">
        <f>E73-серпень!E73</f>
        <v>500</v>
      </c>
      <c r="O73" s="208">
        <f>F73-серпень!F73</f>
        <v>18.779999999999973</v>
      </c>
      <c r="P73" s="207">
        <f aca="true" t="shared" si="22" ref="P73:P86">O73-N73</f>
        <v>-481.22</v>
      </c>
      <c r="Q73" s="207">
        <f>O73/N73*100</f>
        <v>3.755999999999995</v>
      </c>
      <c r="R73" s="43"/>
      <c r="S73" s="103"/>
      <c r="T73" s="186">
        <f t="shared" si="8"/>
        <v>1500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4692.21</v>
      </c>
      <c r="F74" s="222">
        <v>6903.45</v>
      </c>
      <c r="G74" s="202">
        <f t="shared" si="19"/>
        <v>2211.24</v>
      </c>
      <c r="H74" s="204">
        <f>F74/E74*100</f>
        <v>147.12576802828517</v>
      </c>
      <c r="I74" s="207">
        <f t="shared" si="20"/>
        <v>-555.5500000000002</v>
      </c>
      <c r="J74" s="207">
        <f>F74/D74*100</f>
        <v>92.55195066362782</v>
      </c>
      <c r="K74" s="207">
        <v>3987.63</v>
      </c>
      <c r="L74" s="207">
        <f t="shared" si="21"/>
        <v>2915.8199999999997</v>
      </c>
      <c r="M74" s="254">
        <f>F74/K74</f>
        <v>1.7312162863655856</v>
      </c>
      <c r="N74" s="204">
        <f>E74-серпень!E74</f>
        <v>815</v>
      </c>
      <c r="O74" s="208">
        <f>F74-серпень!F74</f>
        <v>119.92000000000007</v>
      </c>
      <c r="P74" s="207">
        <f t="shared" si="22"/>
        <v>-695.0799999999999</v>
      </c>
      <c r="Q74" s="207">
        <f>O74/N74*100</f>
        <v>14.714110429447864</v>
      </c>
      <c r="R74" s="43"/>
      <c r="S74" s="103"/>
      <c r="T74" s="186">
        <f aca="true" t="shared" si="23" ref="T74:T90">D74-E74</f>
        <v>2766.79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2698.85</v>
      </c>
      <c r="F75" s="222">
        <v>12116.42</v>
      </c>
      <c r="G75" s="202">
        <f t="shared" si="19"/>
        <v>9417.57</v>
      </c>
      <c r="H75" s="204">
        <f>F75/E75*100</f>
        <v>448.9475146821794</v>
      </c>
      <c r="I75" s="207">
        <f t="shared" si="20"/>
        <v>6116.42</v>
      </c>
      <c r="J75" s="207">
        <f>F75/D75*100</f>
        <v>201.94033333333334</v>
      </c>
      <c r="K75" s="207">
        <v>1859.08</v>
      </c>
      <c r="L75" s="207">
        <f t="shared" si="21"/>
        <v>10257.34</v>
      </c>
      <c r="M75" s="254">
        <f>F75/K75</f>
        <v>6.517427975127482</v>
      </c>
      <c r="N75" s="204">
        <f>E75-серпень!E75</f>
        <v>302</v>
      </c>
      <c r="O75" s="208">
        <f>F75-серпень!F75</f>
        <v>1639.2800000000007</v>
      </c>
      <c r="P75" s="207">
        <f t="shared" si="22"/>
        <v>1337.2800000000007</v>
      </c>
      <c r="Q75" s="207">
        <f>O75/N75*100</f>
        <v>542.8079470198678</v>
      </c>
      <c r="R75" s="43"/>
      <c r="S75" s="103"/>
      <c r="T75" s="186">
        <f t="shared" si="23"/>
        <v>3301.15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9</v>
      </c>
      <c r="F76" s="222">
        <v>10</v>
      </c>
      <c r="G76" s="202">
        <f t="shared" si="19"/>
        <v>1</v>
      </c>
      <c r="H76" s="204">
        <f>F76/E76*100</f>
        <v>111.11111111111111</v>
      </c>
      <c r="I76" s="207">
        <f t="shared" si="20"/>
        <v>-2</v>
      </c>
      <c r="J76" s="207">
        <f>F76/D76*100</f>
        <v>83.33333333333334</v>
      </c>
      <c r="K76" s="207"/>
      <c r="L76" s="207">
        <f t="shared" si="21"/>
        <v>10</v>
      </c>
      <c r="M76" s="254"/>
      <c r="N76" s="204">
        <f>E76-серпень!E76</f>
        <v>1</v>
      </c>
      <c r="O76" s="208">
        <f>F76-серпень!F76</f>
        <v>4</v>
      </c>
      <c r="P76" s="207">
        <f t="shared" si="22"/>
        <v>3</v>
      </c>
      <c r="Q76" s="207">
        <f>O76/N76*100</f>
        <v>400</v>
      </c>
      <c r="R76" s="43"/>
      <c r="S76" s="151"/>
      <c r="T76" s="186">
        <f t="shared" si="23"/>
        <v>3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10100.06</v>
      </c>
      <c r="F77" s="225">
        <f>F73+F74+F75+F76</f>
        <v>20583.82</v>
      </c>
      <c r="G77" s="226">
        <f t="shared" si="19"/>
        <v>10483.76</v>
      </c>
      <c r="H77" s="227">
        <f>F77/E77*100</f>
        <v>203.7989873327485</v>
      </c>
      <c r="I77" s="228">
        <f t="shared" si="20"/>
        <v>2912.8199999999997</v>
      </c>
      <c r="J77" s="228">
        <f>F77/D77*100</f>
        <v>116.48361722596343</v>
      </c>
      <c r="K77" s="228">
        <v>6439.8</v>
      </c>
      <c r="L77" s="228">
        <f t="shared" si="21"/>
        <v>14144.02</v>
      </c>
      <c r="M77" s="260">
        <f>F77/K77</f>
        <v>3.1963446069753716</v>
      </c>
      <c r="N77" s="226">
        <f>N73+N74+N75+N76</f>
        <v>1618</v>
      </c>
      <c r="O77" s="230">
        <f>O73+O74+O75+O76</f>
        <v>1781.9800000000007</v>
      </c>
      <c r="P77" s="228">
        <f t="shared" si="22"/>
        <v>163.9800000000007</v>
      </c>
      <c r="Q77" s="228">
        <f>O77/N77*100</f>
        <v>110.13473423980227</v>
      </c>
      <c r="R77" s="44"/>
      <c r="S77" s="129"/>
      <c r="T77" s="186">
        <f t="shared" si="23"/>
        <v>7570.9400000000005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35.78</v>
      </c>
      <c r="G78" s="202">
        <f t="shared" si="19"/>
        <v>35.78</v>
      </c>
      <c r="H78" s="204"/>
      <c r="I78" s="207">
        <f t="shared" si="20"/>
        <v>34.78</v>
      </c>
      <c r="J78" s="207"/>
      <c r="K78" s="207">
        <v>0.35</v>
      </c>
      <c r="L78" s="207">
        <f t="shared" si="21"/>
        <v>35.43</v>
      </c>
      <c r="M78" s="254">
        <f>F78/K78</f>
        <v>102.22857142857144</v>
      </c>
      <c r="N78" s="204">
        <f>E78-серпень!E78</f>
        <v>0</v>
      </c>
      <c r="O78" s="208">
        <f>F78-серпень!F78</f>
        <v>30.11</v>
      </c>
      <c r="P78" s="207">
        <f t="shared" si="22"/>
        <v>30.11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E79-серпень!E79</f>
        <v>0</v>
      </c>
      <c r="O79" s="208">
        <f>F79-серпень!F79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7624</v>
      </c>
      <c r="F80" s="222">
        <v>6825.67</v>
      </c>
      <c r="G80" s="202">
        <f t="shared" si="19"/>
        <v>-798.3299999999999</v>
      </c>
      <c r="H80" s="204">
        <f>F80/E80*100</f>
        <v>89.52872507869884</v>
      </c>
      <c r="I80" s="207">
        <f t="shared" si="20"/>
        <v>-2674.33</v>
      </c>
      <c r="J80" s="207">
        <f>F80/D80*100</f>
        <v>71.84915789473685</v>
      </c>
      <c r="K80" s="207">
        <v>0</v>
      </c>
      <c r="L80" s="207">
        <f t="shared" si="21"/>
        <v>6825.67</v>
      </c>
      <c r="M80" s="254"/>
      <c r="N80" s="204">
        <f>E80-серпень!E80</f>
        <v>0.3999999999996362</v>
      </c>
      <c r="O80" s="208">
        <f>F80-серпень!F80</f>
        <v>0.8400000000001455</v>
      </c>
      <c r="P80" s="207">
        <f>O80-N80</f>
        <v>0.4400000000005093</v>
      </c>
      <c r="Q80" s="231">
        <f>O80/N80*100</f>
        <v>210.00000000022737</v>
      </c>
      <c r="R80" s="46"/>
      <c r="S80" s="105"/>
      <c r="T80" s="186">
        <f t="shared" si="23"/>
        <v>1876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1.22</v>
      </c>
      <c r="G81" s="202">
        <f t="shared" si="19"/>
        <v>1.22</v>
      </c>
      <c r="H81" s="204"/>
      <c r="I81" s="207">
        <f t="shared" si="20"/>
        <v>1.22</v>
      </c>
      <c r="J81" s="207"/>
      <c r="K81" s="207">
        <v>1</v>
      </c>
      <c r="L81" s="207">
        <f t="shared" si="21"/>
        <v>0.21999999999999997</v>
      </c>
      <c r="M81" s="254">
        <f>F81/K81</f>
        <v>1.22</v>
      </c>
      <c r="N81" s="204">
        <f>E81-серпень!E81</f>
        <v>0</v>
      </c>
      <c r="O81" s="208">
        <f>F81-серпень!F81</f>
        <v>0.1299999999999999</v>
      </c>
      <c r="P81" s="207">
        <f t="shared" si="22"/>
        <v>0.1299999999999999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7624</v>
      </c>
      <c r="F82" s="225">
        <f>F78+F81+F79+F80</f>
        <v>6862.67</v>
      </c>
      <c r="G82" s="224">
        <f>G78+G81+G79+G80</f>
        <v>-761.3299999999999</v>
      </c>
      <c r="H82" s="227">
        <f>F82/E82*100</f>
        <v>90.01403462749214</v>
      </c>
      <c r="I82" s="228">
        <f t="shared" si="20"/>
        <v>-2638.33</v>
      </c>
      <c r="J82" s="228">
        <f>F82/D82*100</f>
        <v>72.23102831280917</v>
      </c>
      <c r="K82" s="228">
        <v>1.35</v>
      </c>
      <c r="L82" s="228">
        <f t="shared" si="21"/>
        <v>6861.32</v>
      </c>
      <c r="M82" s="268">
        <f>F82/K82</f>
        <v>5083.459259259259</v>
      </c>
      <c r="N82" s="226">
        <f>N78+N81+N79+N80</f>
        <v>0.3999999999996362</v>
      </c>
      <c r="O82" s="230">
        <f>O78+O81+O79+O80</f>
        <v>31.080000000000144</v>
      </c>
      <c r="P82" s="226">
        <f>P78+P81+P79+P80</f>
        <v>30.680000000000508</v>
      </c>
      <c r="Q82" s="228">
        <f>O82/N82*100</f>
        <v>7770.000000007103</v>
      </c>
      <c r="R82" s="44"/>
      <c r="S82" s="102"/>
      <c r="T82" s="186">
        <f t="shared" si="23"/>
        <v>1877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28.97</v>
      </c>
      <c r="F83" s="222">
        <v>26.87</v>
      </c>
      <c r="G83" s="202">
        <f t="shared" si="19"/>
        <v>-2.099999999999998</v>
      </c>
      <c r="H83" s="204">
        <f>F83/E83*100</f>
        <v>92.75112185018986</v>
      </c>
      <c r="I83" s="207">
        <f t="shared" si="20"/>
        <v>-16.13</v>
      </c>
      <c r="J83" s="207">
        <f>F83/D83*100</f>
        <v>62.48837209302326</v>
      </c>
      <c r="K83" s="207">
        <v>29.22</v>
      </c>
      <c r="L83" s="207">
        <f t="shared" si="21"/>
        <v>-2.349999999999998</v>
      </c>
      <c r="M83" s="254">
        <f>F83/K83</f>
        <v>0.9195756331279946</v>
      </c>
      <c r="N83" s="204">
        <f>E83-серпень!E83</f>
        <v>8.169999999999998</v>
      </c>
      <c r="O83" s="208">
        <f>F83-серпень!F83</f>
        <v>7.490000000000002</v>
      </c>
      <c r="P83" s="207">
        <f t="shared" si="22"/>
        <v>-0.6799999999999962</v>
      </c>
      <c r="Q83" s="207">
        <f>O83/N83</f>
        <v>0.9167686658506736</v>
      </c>
      <c r="R83" s="43"/>
      <c r="S83" s="103"/>
      <c r="T83" s="186">
        <f t="shared" si="23"/>
        <v>14.030000000000001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17753.03</v>
      </c>
      <c r="F85" s="232">
        <f>F71+F83+F77+F82+F84</f>
        <v>27469.54</v>
      </c>
      <c r="G85" s="233">
        <f>F85-E85</f>
        <v>9716.510000000002</v>
      </c>
      <c r="H85" s="234">
        <f>F85/E85*100</f>
        <v>154.73155850015462</v>
      </c>
      <c r="I85" s="235">
        <f>F85-D85</f>
        <v>254.54000000000087</v>
      </c>
      <c r="J85" s="235">
        <f>F85/D85*100</f>
        <v>100.93529303692816</v>
      </c>
      <c r="K85" s="235">
        <v>6418.88</v>
      </c>
      <c r="L85" s="235">
        <f>F85-K85</f>
        <v>21050.66</v>
      </c>
      <c r="M85" s="269">
        <f>F85/K85</f>
        <v>4.279491126177776</v>
      </c>
      <c r="N85" s="232">
        <f>N71+N83+N77+N82</f>
        <v>1626.5699999999997</v>
      </c>
      <c r="O85" s="232">
        <f>O71+O83+O77+O82+O84</f>
        <v>1820.5500000000009</v>
      </c>
      <c r="P85" s="235">
        <f t="shared" si="22"/>
        <v>193.98000000000116</v>
      </c>
      <c r="Q85" s="235">
        <f>O85/N85*100</f>
        <v>111.92570869990233</v>
      </c>
      <c r="R85" s="28">
        <f>O85-8104.96</f>
        <v>-6284.409999999999</v>
      </c>
      <c r="S85" s="101">
        <f>O85/8104.96</f>
        <v>0.22462171312381565</v>
      </c>
      <c r="T85" s="186">
        <f t="shared" si="23"/>
        <v>9461.970000000001</v>
      </c>
    </row>
    <row r="86" spans="2:20" ht="17.25">
      <c r="B86" s="21" t="s">
        <v>33</v>
      </c>
      <c r="C86" s="71"/>
      <c r="D86" s="232">
        <f>D64+D85</f>
        <v>1046159.7300000001</v>
      </c>
      <c r="E86" s="232">
        <f>E64+E85</f>
        <v>772748.17</v>
      </c>
      <c r="F86" s="232">
        <f>F64+F85</f>
        <v>784969.6400000001</v>
      </c>
      <c r="G86" s="233">
        <f>F86-E86</f>
        <v>12221.470000000088</v>
      </c>
      <c r="H86" s="234">
        <f>F86/E86*100</f>
        <v>101.58155922905647</v>
      </c>
      <c r="I86" s="235">
        <f>F86-D86</f>
        <v>-261190.08999999997</v>
      </c>
      <c r="J86" s="235">
        <f>F86/D86*100</f>
        <v>75.03344063912688</v>
      </c>
      <c r="K86" s="235">
        <f>K64+K85</f>
        <v>515557.51</v>
      </c>
      <c r="L86" s="235">
        <f>F86-K86</f>
        <v>269412.1300000001</v>
      </c>
      <c r="M86" s="269">
        <f>F86/K86</f>
        <v>1.5225646504499568</v>
      </c>
      <c r="N86" s="233">
        <f>N64+N85</f>
        <v>84185.70000000001</v>
      </c>
      <c r="O86" s="233">
        <f>O64+O85</f>
        <v>82796.98999999999</v>
      </c>
      <c r="P86" s="235">
        <f t="shared" si="22"/>
        <v>-1388.710000000021</v>
      </c>
      <c r="Q86" s="235">
        <f>O86/N86*100</f>
        <v>98.35042055836084</v>
      </c>
      <c r="R86" s="28">
        <f>O86-42872.96</f>
        <v>39924.02999999999</v>
      </c>
      <c r="S86" s="101">
        <f>O86/42872.96</f>
        <v>1.9312170188389137</v>
      </c>
      <c r="T86" s="186">
        <f t="shared" si="23"/>
        <v>273411.56000000006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42643</v>
      </c>
      <c r="D90" s="31">
        <v>7462.3</v>
      </c>
      <c r="G90" s="4" t="s">
        <v>59</v>
      </c>
      <c r="O90" s="424"/>
      <c r="P90" s="424"/>
      <c r="T90" s="186">
        <f t="shared" si="23"/>
        <v>7462.3</v>
      </c>
    </row>
    <row r="91" spans="3:16" ht="15">
      <c r="C91" s="87">
        <v>42642</v>
      </c>
      <c r="D91" s="31">
        <v>10407.9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42641</v>
      </c>
      <c r="D92" s="31">
        <v>6835.7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10150.57106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946</v>
      </c>
      <c r="F97" s="247">
        <f>F45+F48+F49</f>
        <v>655.43</v>
      </c>
      <c r="G97" s="73">
        <f>G45+G48+G49</f>
        <v>-290.57</v>
      </c>
      <c r="H97" s="74"/>
      <c r="I97" s="74"/>
      <c r="N97" s="31">
        <f>N45+N48+N49</f>
        <v>12</v>
      </c>
      <c r="O97" s="246">
        <f>O45+O48+O49</f>
        <v>143.62</v>
      </c>
      <c r="P97" s="31">
        <f>P45+P48+P49</f>
        <v>131.62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196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193</v>
      </c>
      <c r="O3" s="450" t="s">
        <v>194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190</v>
      </c>
      <c r="F4" s="433" t="s">
        <v>34</v>
      </c>
      <c r="G4" s="426" t="s">
        <v>191</v>
      </c>
      <c r="H4" s="435" t="s">
        <v>192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197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195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629357.98</v>
      </c>
      <c r="F8" s="191">
        <f>F9+F15+F18+F19+F20+F37+F17</f>
        <v>633520.83</v>
      </c>
      <c r="G8" s="191">
        <f aca="true" t="shared" si="0" ref="G8:G37">F8-E8</f>
        <v>4162.849999999977</v>
      </c>
      <c r="H8" s="192">
        <f>F8/E8*100</f>
        <v>100.6614439051047</v>
      </c>
      <c r="I8" s="193">
        <f>F8-D8</f>
        <v>-300550.6200000001</v>
      </c>
      <c r="J8" s="193">
        <f>F8/D8*100</f>
        <v>67.82359422290446</v>
      </c>
      <c r="K8" s="191">
        <v>429512.12</v>
      </c>
      <c r="L8" s="191">
        <f aca="true" t="shared" si="1" ref="L8:L51">F8-K8</f>
        <v>204008.70999999996</v>
      </c>
      <c r="M8" s="250">
        <f aca="true" t="shared" si="2" ref="M8:M28">F8/K8</f>
        <v>1.4749777724549424</v>
      </c>
      <c r="N8" s="191">
        <f>N9+N15+N18+N19+N20+N17</f>
        <v>130406.69999999995</v>
      </c>
      <c r="O8" s="191">
        <f>O9+O15+O18+O19+O20+O17</f>
        <v>89713.86999999997</v>
      </c>
      <c r="P8" s="191">
        <f>O8-N8</f>
        <v>-40692.82999999999</v>
      </c>
      <c r="Q8" s="19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f>328493.67+2000+1800</f>
        <v>332293.67</v>
      </c>
      <c r="F9" s="196">
        <v>339918.36</v>
      </c>
      <c r="G9" s="190">
        <f t="shared" si="0"/>
        <v>7624.690000000002</v>
      </c>
      <c r="H9" s="197">
        <f>F9/E9*100</f>
        <v>102.2945637213011</v>
      </c>
      <c r="I9" s="198">
        <f>F9-D9</f>
        <v>-190670.64</v>
      </c>
      <c r="J9" s="198">
        <f>F9/D9*100</f>
        <v>64.06434358797488</v>
      </c>
      <c r="K9" s="199">
        <v>233711.01</v>
      </c>
      <c r="L9" s="199">
        <f t="shared" si="1"/>
        <v>106207.34999999998</v>
      </c>
      <c r="M9" s="251">
        <f t="shared" si="2"/>
        <v>1.4544387960156433</v>
      </c>
      <c r="N9" s="197">
        <f>E9-липень!E9</f>
        <v>69034.39999999997</v>
      </c>
      <c r="O9" s="200">
        <f>F9-липень!F9</f>
        <v>44508.649999999965</v>
      </c>
      <c r="P9" s="201">
        <f>O9-N9</f>
        <v>-24525.75</v>
      </c>
      <c r="Q9" s="198">
        <f>O9/N9*100</f>
        <v>64.473146721055</v>
      </c>
      <c r="R9" s="106"/>
      <c r="S9" s="107"/>
      <c r="T9" s="186">
        <f>D9-E9</f>
        <v>198295.33000000002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298673.41</v>
      </c>
      <c r="G10" s="109">
        <f t="shared" si="0"/>
        <v>3303.1699999999837</v>
      </c>
      <c r="H10" s="32">
        <f aca="true" t="shared" si="3" ref="H10:H36">F10/E10*100</f>
        <v>101.11831510175162</v>
      </c>
      <c r="I10" s="110">
        <f aca="true" t="shared" si="4" ref="I10:I37">F10-D10</f>
        <v>-186535.59000000003</v>
      </c>
      <c r="J10" s="110">
        <f aca="true" t="shared" si="5" ref="J10:J36">F10/D10*100</f>
        <v>61.55562036153492</v>
      </c>
      <c r="K10" s="112">
        <v>206618.21</v>
      </c>
      <c r="L10" s="112">
        <f t="shared" si="1"/>
        <v>92055.19999999998</v>
      </c>
      <c r="M10" s="252">
        <f t="shared" si="2"/>
        <v>1.4455328501781135</v>
      </c>
      <c r="N10" s="111">
        <f>E10-липень!E10</f>
        <v>61354.399999999994</v>
      </c>
      <c r="O10" s="179">
        <f>F10-липень!F10</f>
        <v>39567.50999999998</v>
      </c>
      <c r="P10" s="112">
        <f aca="true" t="shared" si="6" ref="P10:P37">O10-N10</f>
        <v>-21786.890000000014</v>
      </c>
      <c r="Q10" s="198">
        <f aca="true" t="shared" si="7" ref="Q10:Q16">O10/N10*100</f>
        <v>64.49009362001745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19714.94</v>
      </c>
      <c r="F11" s="171">
        <v>24998.93</v>
      </c>
      <c r="G11" s="109">
        <f t="shared" si="0"/>
        <v>5283.990000000002</v>
      </c>
      <c r="H11" s="32">
        <f t="shared" si="3"/>
        <v>126.80195831181835</v>
      </c>
      <c r="I11" s="110">
        <f t="shared" si="4"/>
        <v>1998.9300000000003</v>
      </c>
      <c r="J11" s="110">
        <f t="shared" si="5"/>
        <v>108.691</v>
      </c>
      <c r="K11" s="112">
        <v>12408.56</v>
      </c>
      <c r="L11" s="112">
        <f t="shared" si="1"/>
        <v>12590.37</v>
      </c>
      <c r="M11" s="252">
        <f t="shared" si="2"/>
        <v>2.0146519821800437</v>
      </c>
      <c r="N11" s="111">
        <f>E11-липень!E11</f>
        <v>3799.999999999998</v>
      </c>
      <c r="O11" s="179">
        <f>F11-липень!F11</f>
        <v>3412.9000000000015</v>
      </c>
      <c r="P11" s="112">
        <f t="shared" si="6"/>
        <v>-387.0999999999967</v>
      </c>
      <c r="Q11" s="198">
        <f t="shared" si="7"/>
        <v>89.81315789473693</v>
      </c>
      <c r="R11" s="42"/>
      <c r="S11" s="100"/>
      <c r="T11" s="186">
        <f t="shared" si="8"/>
        <v>3285.0600000000013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5400.61</v>
      </c>
      <c r="F12" s="171">
        <v>6686.39</v>
      </c>
      <c r="G12" s="109">
        <f t="shared" si="0"/>
        <v>1285.7800000000007</v>
      </c>
      <c r="H12" s="32">
        <f t="shared" si="3"/>
        <v>123.8080513127221</v>
      </c>
      <c r="I12" s="110">
        <f t="shared" si="4"/>
        <v>186.39000000000033</v>
      </c>
      <c r="J12" s="110">
        <f t="shared" si="5"/>
        <v>102.86753846153846</v>
      </c>
      <c r="K12" s="112">
        <v>3331.36</v>
      </c>
      <c r="L12" s="112">
        <f t="shared" si="1"/>
        <v>3355.03</v>
      </c>
      <c r="M12" s="252">
        <f t="shared" si="2"/>
        <v>2.007105206282119</v>
      </c>
      <c r="N12" s="111">
        <f>E12-липень!E12</f>
        <v>2129.9999999999995</v>
      </c>
      <c r="O12" s="179">
        <f>F12-липень!F12</f>
        <v>848.9500000000007</v>
      </c>
      <c r="P12" s="112">
        <f t="shared" si="6"/>
        <v>-1281.0499999999988</v>
      </c>
      <c r="Q12" s="198">
        <f t="shared" si="7"/>
        <v>39.85680751173713</v>
      </c>
      <c r="R12" s="42"/>
      <c r="S12" s="100"/>
      <c r="T12" s="186">
        <f t="shared" si="8"/>
        <v>1099.3900000000003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7017.25</v>
      </c>
      <c r="G13" s="109">
        <f t="shared" si="0"/>
        <v>-1347.5900000000001</v>
      </c>
      <c r="H13" s="32">
        <f t="shared" si="3"/>
        <v>83.88982933325681</v>
      </c>
      <c r="I13" s="110">
        <f t="shared" si="4"/>
        <v>-5382.75</v>
      </c>
      <c r="J13" s="110">
        <f t="shared" si="5"/>
        <v>56.590725806451616</v>
      </c>
      <c r="K13" s="112">
        <v>4976.73</v>
      </c>
      <c r="L13" s="112">
        <f t="shared" si="1"/>
        <v>2040.5200000000004</v>
      </c>
      <c r="M13" s="252">
        <f t="shared" si="2"/>
        <v>1.4100121967637385</v>
      </c>
      <c r="N13" s="111">
        <f>E13-липень!E13</f>
        <v>1600</v>
      </c>
      <c r="O13" s="179">
        <f>F13-липень!F13</f>
        <v>587.79</v>
      </c>
      <c r="P13" s="112">
        <f t="shared" si="6"/>
        <v>-1012.21</v>
      </c>
      <c r="Q13" s="198">
        <f t="shared" si="7"/>
        <v>36.736875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2542.38</v>
      </c>
      <c r="G14" s="109">
        <f t="shared" si="0"/>
        <v>-900.6599999999999</v>
      </c>
      <c r="H14" s="32">
        <f t="shared" si="3"/>
        <v>73.84114038756448</v>
      </c>
      <c r="I14" s="110">
        <f t="shared" si="4"/>
        <v>-937.6199999999999</v>
      </c>
      <c r="J14" s="110">
        <f t="shared" si="5"/>
        <v>73.05689655172414</v>
      </c>
      <c r="K14" s="112">
        <v>6376.14</v>
      </c>
      <c r="L14" s="112">
        <f t="shared" si="1"/>
        <v>-3833.76</v>
      </c>
      <c r="M14" s="252">
        <f t="shared" si="2"/>
        <v>0.39873340296793985</v>
      </c>
      <c r="N14" s="111">
        <f>E14-липень!E14</f>
        <v>150</v>
      </c>
      <c r="O14" s="179">
        <f>F14-липень!F14</f>
        <v>91.5</v>
      </c>
      <c r="P14" s="112">
        <f t="shared" si="6"/>
        <v>-58.5</v>
      </c>
      <c r="Q14" s="198">
        <f t="shared" si="7"/>
        <v>61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385.26</v>
      </c>
      <c r="G15" s="190">
        <f t="shared" si="0"/>
        <v>20.25999999999999</v>
      </c>
      <c r="H15" s="197">
        <f>F15/E15*100</f>
        <v>105.55068493150685</v>
      </c>
      <c r="I15" s="198">
        <f t="shared" si="4"/>
        <v>-114.74000000000001</v>
      </c>
      <c r="J15" s="198">
        <f t="shared" si="5"/>
        <v>77.05199999999999</v>
      </c>
      <c r="K15" s="201">
        <v>-734.58</v>
      </c>
      <c r="L15" s="201">
        <f t="shared" si="1"/>
        <v>1119.8400000000001</v>
      </c>
      <c r="M15" s="253">
        <f t="shared" si="2"/>
        <v>-0.5244629584252225</v>
      </c>
      <c r="N15" s="197">
        <f>E15-липень!E15</f>
        <v>115</v>
      </c>
      <c r="O15" s="200">
        <f>F15-липень!F15</f>
        <v>76.01999999999998</v>
      </c>
      <c r="P15" s="201">
        <f t="shared" si="6"/>
        <v>-38.98000000000002</v>
      </c>
      <c r="Q15" s="198">
        <f t="shared" si="7"/>
        <v>66.10434782608694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64436.28</v>
      </c>
      <c r="G19" s="190">
        <f t="shared" si="0"/>
        <v>-4824.119999999995</v>
      </c>
      <c r="H19" s="197">
        <f t="shared" si="3"/>
        <v>93.03480776894156</v>
      </c>
      <c r="I19" s="198">
        <f t="shared" si="4"/>
        <v>-45463.72</v>
      </c>
      <c r="J19" s="198">
        <f t="shared" si="5"/>
        <v>58.63173794358507</v>
      </c>
      <c r="K19" s="209">
        <v>43877.66</v>
      </c>
      <c r="L19" s="201">
        <f t="shared" si="1"/>
        <v>20558.619999999995</v>
      </c>
      <c r="M19" s="259">
        <f t="shared" si="2"/>
        <v>1.468544129290395</v>
      </c>
      <c r="N19" s="197">
        <f>E19-липень!E19</f>
        <v>10499.999999999993</v>
      </c>
      <c r="O19" s="200">
        <f>F19-липень!F19</f>
        <v>10145.080000000002</v>
      </c>
      <c r="P19" s="201">
        <f t="shared" si="6"/>
        <v>-354.919999999991</v>
      </c>
      <c r="Q19" s="198">
        <f aca="true" t="shared" si="9" ref="Q19:Q24">O19/N19*100</f>
        <v>96.61980952380961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227333.11</v>
      </c>
      <c r="F20" s="272">
        <f>F21+F29+F30+F31+F32</f>
        <v>228674.96</v>
      </c>
      <c r="G20" s="190">
        <f t="shared" si="0"/>
        <v>1341.8500000000058</v>
      </c>
      <c r="H20" s="197">
        <f t="shared" si="3"/>
        <v>100.5902571781119</v>
      </c>
      <c r="I20" s="198">
        <f t="shared" si="4"/>
        <v>-64301.69000000003</v>
      </c>
      <c r="J20" s="198">
        <f t="shared" si="5"/>
        <v>78.05228164087478</v>
      </c>
      <c r="K20" s="198">
        <v>147068.17</v>
      </c>
      <c r="L20" s="201">
        <f t="shared" si="1"/>
        <v>81606.78999999998</v>
      </c>
      <c r="M20" s="254">
        <f t="shared" si="2"/>
        <v>1.554890905353619</v>
      </c>
      <c r="N20" s="197">
        <f>N21+N30+N31+N32</f>
        <v>50661.5</v>
      </c>
      <c r="O20" s="200">
        <f>F20-липень!F20</f>
        <v>34984.119999999995</v>
      </c>
      <c r="P20" s="201">
        <f t="shared" si="6"/>
        <v>-15677.380000000005</v>
      </c>
      <c r="Q20" s="198">
        <f t="shared" si="9"/>
        <v>69.05464701992636</v>
      </c>
      <c r="R20" s="113"/>
      <c r="S20" s="114"/>
      <c r="T20" s="186">
        <f t="shared" si="8"/>
        <v>65643.54000000004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120768.95999999999</v>
      </c>
      <c r="F21" s="211">
        <f>F22+F25+F26</f>
        <v>121679.97</v>
      </c>
      <c r="G21" s="190">
        <f t="shared" si="0"/>
        <v>911.0100000000093</v>
      </c>
      <c r="H21" s="197">
        <f t="shared" si="3"/>
        <v>100.75434118170763</v>
      </c>
      <c r="I21" s="198">
        <f t="shared" si="4"/>
        <v>-53219.67999999999</v>
      </c>
      <c r="J21" s="198">
        <f t="shared" si="5"/>
        <v>69.57130560295576</v>
      </c>
      <c r="K21" s="198">
        <v>79798.88</v>
      </c>
      <c r="L21" s="201">
        <f t="shared" si="1"/>
        <v>41881.09</v>
      </c>
      <c r="M21" s="254">
        <f t="shared" si="2"/>
        <v>1.5248330553010268</v>
      </c>
      <c r="N21" s="197">
        <f>N22+N25+N26</f>
        <v>24280.3</v>
      </c>
      <c r="O21" s="200">
        <f>F21-червень!F21</f>
        <v>35685.58</v>
      </c>
      <c r="P21" s="201">
        <f t="shared" si="6"/>
        <v>11405.280000000002</v>
      </c>
      <c r="Q21" s="198">
        <f t="shared" si="9"/>
        <v>146.9733899498771</v>
      </c>
      <c r="R21" s="113"/>
      <c r="S21" s="114"/>
      <c r="T21" s="186">
        <f t="shared" si="8"/>
        <v>54130.69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14873.47</v>
      </c>
      <c r="G22" s="212">
        <f t="shared" si="0"/>
        <v>296.5699999999997</v>
      </c>
      <c r="H22" s="214">
        <f t="shared" si="3"/>
        <v>102.03452037127236</v>
      </c>
      <c r="I22" s="215">
        <f t="shared" si="4"/>
        <v>-3626.5300000000007</v>
      </c>
      <c r="J22" s="215">
        <f t="shared" si="5"/>
        <v>80.39713513513513</v>
      </c>
      <c r="K22" s="216">
        <v>8673.74</v>
      </c>
      <c r="L22" s="206">
        <f t="shared" si="1"/>
        <v>6199.73</v>
      </c>
      <c r="M22" s="262">
        <f t="shared" si="2"/>
        <v>1.7147700991729058</v>
      </c>
      <c r="N22" s="214">
        <f>E22-липень!E22</f>
        <v>1985.2999999999993</v>
      </c>
      <c r="O22" s="217">
        <f>F22-липень!F22</f>
        <v>1003.3299999999999</v>
      </c>
      <c r="P22" s="218">
        <f t="shared" si="6"/>
        <v>-981.9699999999993</v>
      </c>
      <c r="Q22" s="215">
        <f t="shared" si="9"/>
        <v>50.53795396161791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623.64</v>
      </c>
      <c r="G23" s="241">
        <f t="shared" si="0"/>
        <v>-250.76</v>
      </c>
      <c r="H23" s="242">
        <f t="shared" si="3"/>
        <v>71.3220494053065</v>
      </c>
      <c r="I23" s="243">
        <f t="shared" si="4"/>
        <v>-1376.3600000000001</v>
      </c>
      <c r="J23" s="243">
        <f t="shared" si="5"/>
        <v>31.182</v>
      </c>
      <c r="K23" s="261">
        <v>526.9</v>
      </c>
      <c r="L23" s="261">
        <f t="shared" si="1"/>
        <v>96.74000000000001</v>
      </c>
      <c r="M23" s="263">
        <f t="shared" si="2"/>
        <v>1.1836022015562726</v>
      </c>
      <c r="N23" s="239">
        <f>E23-липень!E23</f>
        <v>185.29999999999995</v>
      </c>
      <c r="O23" s="239">
        <f>F23-липень!F23</f>
        <v>85.80999999999995</v>
      </c>
      <c r="P23" s="240">
        <f t="shared" si="6"/>
        <v>-99.49000000000001</v>
      </c>
      <c r="Q23" s="240">
        <f t="shared" si="9"/>
        <v>46.308688613059886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14249.83</v>
      </c>
      <c r="G24" s="241">
        <f t="shared" si="0"/>
        <v>547.3299999999999</v>
      </c>
      <c r="H24" s="242">
        <f t="shared" si="3"/>
        <v>103.99438058748403</v>
      </c>
      <c r="I24" s="243">
        <f t="shared" si="4"/>
        <v>-2250.17</v>
      </c>
      <c r="J24" s="243">
        <f t="shared" si="5"/>
        <v>86.36260606060605</v>
      </c>
      <c r="K24" s="261">
        <v>8146.84</v>
      </c>
      <c r="L24" s="261">
        <f t="shared" si="1"/>
        <v>6102.99</v>
      </c>
      <c r="M24" s="263">
        <f t="shared" si="2"/>
        <v>1.7491235865685346</v>
      </c>
      <c r="N24" s="239">
        <f>E24-липень!E24</f>
        <v>1800</v>
      </c>
      <c r="O24" s="239">
        <f>F24-липень!F24</f>
        <v>917.5200000000004</v>
      </c>
      <c r="P24" s="240">
        <f t="shared" si="6"/>
        <v>-882.4799999999996</v>
      </c>
      <c r="Q24" s="240">
        <f t="shared" si="9"/>
        <v>50.97333333333336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669</v>
      </c>
      <c r="G25" s="212">
        <f t="shared" si="0"/>
        <v>-224.14</v>
      </c>
      <c r="H25" s="214">
        <f t="shared" si="3"/>
        <v>74.90427032716036</v>
      </c>
      <c r="I25" s="215">
        <f t="shared" si="4"/>
        <v>-331</v>
      </c>
      <c r="J25" s="215">
        <f t="shared" si="5"/>
        <v>66.9</v>
      </c>
      <c r="K25" s="215">
        <v>3116.95</v>
      </c>
      <c r="L25" s="215">
        <f t="shared" si="1"/>
        <v>-2447.95</v>
      </c>
      <c r="M25" s="257">
        <f t="shared" si="2"/>
        <v>0.21463289433580907</v>
      </c>
      <c r="N25" s="214">
        <f>E25-липень!E25</f>
        <v>200</v>
      </c>
      <c r="O25" s="217">
        <f>F25-липень!F25</f>
        <v>190.2</v>
      </c>
      <c r="P25" s="218">
        <f t="shared" si="6"/>
        <v>-9.800000000000011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f>103968.92+677+453+200</f>
        <v>105298.92</v>
      </c>
      <c r="F26" s="213">
        <v>106137.5</v>
      </c>
      <c r="G26" s="212">
        <f t="shared" si="0"/>
        <v>838.5800000000017</v>
      </c>
      <c r="H26" s="214">
        <f t="shared" si="3"/>
        <v>100.79638043771008</v>
      </c>
      <c r="I26" s="215">
        <f t="shared" si="4"/>
        <v>-49262.149999999994</v>
      </c>
      <c r="J26" s="215">
        <f t="shared" si="5"/>
        <v>68.2997033777103</v>
      </c>
      <c r="K26" s="216">
        <v>68008.19</v>
      </c>
      <c r="L26" s="216">
        <f t="shared" si="1"/>
        <v>38129.31</v>
      </c>
      <c r="M26" s="256">
        <f t="shared" si="2"/>
        <v>1.5606576207953777</v>
      </c>
      <c r="N26" s="214">
        <f>E26-липень!E26</f>
        <v>22095</v>
      </c>
      <c r="O26" s="217">
        <f>F26-липень!F26</f>
        <v>14529.710000000006</v>
      </c>
      <c r="P26" s="218">
        <f t="shared" si="6"/>
        <v>-7565.289999999994</v>
      </c>
      <c r="Q26" s="215">
        <f>O26/N26*100</f>
        <v>65.76017198461194</v>
      </c>
      <c r="R26" s="113"/>
      <c r="S26" s="114"/>
      <c r="T26" s="186">
        <f t="shared" si="8"/>
        <v>50100.729999999996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33291.75</v>
      </c>
      <c r="F27" s="203">
        <v>34037.82</v>
      </c>
      <c r="G27" s="241">
        <f t="shared" si="0"/>
        <v>746.0699999999997</v>
      </c>
      <c r="H27" s="242">
        <f t="shared" si="3"/>
        <v>102.24100565455404</v>
      </c>
      <c r="I27" s="243">
        <f t="shared" si="4"/>
        <v>-13329.18</v>
      </c>
      <c r="J27" s="243">
        <f t="shared" si="5"/>
        <v>71.8597757932738</v>
      </c>
      <c r="K27" s="261">
        <v>18442.07</v>
      </c>
      <c r="L27" s="261">
        <f t="shared" si="1"/>
        <v>15595.75</v>
      </c>
      <c r="M27" s="263">
        <f t="shared" si="2"/>
        <v>1.8456615770355498</v>
      </c>
      <c r="N27" s="239">
        <f>E27-липень!E27</f>
        <v>9447</v>
      </c>
      <c r="O27" s="239">
        <f>F27-липень!F27</f>
        <v>4752.060000000001</v>
      </c>
      <c r="P27" s="240">
        <f t="shared" si="6"/>
        <v>-4694.939999999999</v>
      </c>
      <c r="Q27" s="240">
        <f>O27/N27*100</f>
        <v>50.30231819625279</v>
      </c>
      <c r="R27" s="113"/>
      <c r="S27" s="114"/>
      <c r="T27" s="186">
        <f t="shared" si="8"/>
        <v>14075.25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72007.17</v>
      </c>
      <c r="F28" s="203">
        <v>72099.67</v>
      </c>
      <c r="G28" s="241">
        <f t="shared" si="0"/>
        <v>92.5</v>
      </c>
      <c r="H28" s="242">
        <f t="shared" si="3"/>
        <v>100.128459429804</v>
      </c>
      <c r="I28" s="243">
        <f t="shared" si="4"/>
        <v>-35932.979999999996</v>
      </c>
      <c r="J28" s="243">
        <f t="shared" si="5"/>
        <v>66.73877758251788</v>
      </c>
      <c r="K28" s="261">
        <v>49566.12</v>
      </c>
      <c r="L28" s="261">
        <f t="shared" si="1"/>
        <v>22533.549999999996</v>
      </c>
      <c r="M28" s="263">
        <f t="shared" si="2"/>
        <v>1.4546159755897778</v>
      </c>
      <c r="N28" s="239">
        <f>E28-липень!E28</f>
        <v>12648</v>
      </c>
      <c r="O28" s="239">
        <f>F28-липень!F28</f>
        <v>9777.64</v>
      </c>
      <c r="P28" s="240">
        <f t="shared" si="6"/>
        <v>-2870.3600000000006</v>
      </c>
      <c r="Q28" s="240">
        <f>O28/N28*100</f>
        <v>77.30581910183427</v>
      </c>
      <c r="R28" s="113"/>
      <c r="S28" s="114"/>
      <c r="T28" s="186">
        <f t="shared" si="8"/>
        <v>36025.479999999996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85.95</v>
      </c>
      <c r="G30" s="190">
        <f t="shared" si="0"/>
        <v>37.64</v>
      </c>
      <c r="H30" s="197">
        <f t="shared" si="3"/>
        <v>177.91347547091698</v>
      </c>
      <c r="I30" s="198">
        <f t="shared" si="4"/>
        <v>8.950000000000003</v>
      </c>
      <c r="J30" s="198">
        <f t="shared" si="5"/>
        <v>111.62337662337663</v>
      </c>
      <c r="K30" s="198">
        <v>48.85</v>
      </c>
      <c r="L30" s="198">
        <f t="shared" si="1"/>
        <v>37.1</v>
      </c>
      <c r="M30" s="255">
        <f>F30/K30</f>
        <v>1.759467758444217</v>
      </c>
      <c r="N30" s="197">
        <f>E30-липень!E30</f>
        <v>7.400000000000006</v>
      </c>
      <c r="O30" s="200">
        <f>F30-липень!F30</f>
        <v>20.33</v>
      </c>
      <c r="P30" s="201">
        <f t="shared" si="6"/>
        <v>12.929999999999993</v>
      </c>
      <c r="Q30" s="198">
        <f>O30/N30*100</f>
        <v>274.7297297297295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-150.23</v>
      </c>
      <c r="G31" s="190">
        <f t="shared" si="0"/>
        <v>-150.23</v>
      </c>
      <c r="H31" s="197"/>
      <c r="I31" s="198">
        <f t="shared" si="4"/>
        <v>-150.23</v>
      </c>
      <c r="J31" s="198"/>
      <c r="K31" s="198">
        <v>-614.57</v>
      </c>
      <c r="L31" s="198">
        <f t="shared" si="1"/>
        <v>464.34000000000003</v>
      </c>
      <c r="M31" s="255">
        <f>F31/K31</f>
        <v>0.24444733716256892</v>
      </c>
      <c r="N31" s="197">
        <f>E31-липень!E31</f>
        <v>0</v>
      </c>
      <c r="O31" s="200">
        <f>F31-липень!F31</f>
        <v>-11.5</v>
      </c>
      <c r="P31" s="201">
        <f t="shared" si="6"/>
        <v>-11.5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f>98815.84+7700</f>
        <v>106515.84</v>
      </c>
      <c r="F32" s="203">
        <v>107059.12</v>
      </c>
      <c r="G32" s="202">
        <f t="shared" si="0"/>
        <v>543.2799999999988</v>
      </c>
      <c r="H32" s="204">
        <f t="shared" si="3"/>
        <v>100.51004620533435</v>
      </c>
      <c r="I32" s="205">
        <f t="shared" si="4"/>
        <v>-10940.880000000005</v>
      </c>
      <c r="J32" s="205">
        <f t="shared" si="5"/>
        <v>90.72806779661016</v>
      </c>
      <c r="K32" s="219">
        <v>67835.01</v>
      </c>
      <c r="L32" s="219">
        <f>F32-K32</f>
        <v>39224.11</v>
      </c>
      <c r="M32" s="411">
        <f>F32/K32</f>
        <v>1.578228115540928</v>
      </c>
      <c r="N32" s="197">
        <f>E32-липень!E32</f>
        <v>26373.800000000003</v>
      </c>
      <c r="O32" s="200">
        <f>F32-липень!F32</f>
        <v>19252.04999999999</v>
      </c>
      <c r="P32" s="207">
        <f t="shared" si="6"/>
        <v>-7121.750000000015</v>
      </c>
      <c r="Q32" s="205">
        <f>O32/N32*100</f>
        <v>72.996875687235</v>
      </c>
      <c r="R32" s="113"/>
      <c r="S32" s="114"/>
      <c r="T32" s="186">
        <f t="shared" si="8"/>
        <v>11484.160000000003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0.23</v>
      </c>
      <c r="G33" s="109">
        <f t="shared" si="0"/>
        <v>0.23</v>
      </c>
      <c r="H33" s="111"/>
      <c r="I33" s="110">
        <f t="shared" si="4"/>
        <v>0.23</v>
      </c>
      <c r="J33" s="110"/>
      <c r="K33" s="142">
        <v>-1.2</v>
      </c>
      <c r="L33" s="142">
        <f t="shared" si="1"/>
        <v>1.43</v>
      </c>
      <c r="M33" s="264">
        <f aca="true" t="shared" si="10" ref="M33:M39">F33/K33</f>
        <v>-0.19166666666666668</v>
      </c>
      <c r="N33" s="111">
        <f>E33-липень!E33</f>
        <v>0</v>
      </c>
      <c r="O33" s="179">
        <f>F33-липень!F33</f>
        <v>0.010000000000000009</v>
      </c>
      <c r="P33" s="112">
        <f t="shared" si="6"/>
        <v>0.010000000000000009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28217</v>
      </c>
      <c r="E34" s="109">
        <v>26962.97</v>
      </c>
      <c r="F34" s="171">
        <v>27383.08</v>
      </c>
      <c r="G34" s="109">
        <f t="shared" si="0"/>
        <v>420.1100000000006</v>
      </c>
      <c r="H34" s="111">
        <f t="shared" si="3"/>
        <v>101.55809986807833</v>
      </c>
      <c r="I34" s="110">
        <f t="shared" si="4"/>
        <v>-833.9199999999983</v>
      </c>
      <c r="J34" s="110">
        <f t="shared" si="5"/>
        <v>97.0446184923982</v>
      </c>
      <c r="K34" s="142">
        <v>16931.33</v>
      </c>
      <c r="L34" s="142">
        <f t="shared" si="1"/>
        <v>10451.75</v>
      </c>
      <c r="M34" s="264">
        <f t="shared" si="10"/>
        <v>1.617302361952664</v>
      </c>
      <c r="N34" s="111">
        <f>E34-липень!E34</f>
        <v>7267</v>
      </c>
      <c r="O34" s="179">
        <f>F34-липень!F34</f>
        <v>5628.570000000003</v>
      </c>
      <c r="P34" s="112">
        <f t="shared" si="6"/>
        <v>-1638.4299999999967</v>
      </c>
      <c r="Q34" s="110">
        <f>O34/N34*100</f>
        <v>77.45383239300953</v>
      </c>
      <c r="R34" s="113"/>
      <c r="S34" s="114"/>
      <c r="T34" s="186">
        <f t="shared" si="8"/>
        <v>1254.0299999999988</v>
      </c>
    </row>
    <row r="35" spans="1:20" s="6" customFormat="1" ht="15">
      <c r="A35" s="8"/>
      <c r="B35" s="55" t="s">
        <v>96</v>
      </c>
      <c r="C35" s="108">
        <v>18050400</v>
      </c>
      <c r="D35" s="109">
        <v>89732</v>
      </c>
      <c r="E35" s="109">
        <v>79536.08</v>
      </c>
      <c r="F35" s="171">
        <v>79650.8</v>
      </c>
      <c r="G35" s="109">
        <f t="shared" si="0"/>
        <v>114.72000000000116</v>
      </c>
      <c r="H35" s="111">
        <f t="shared" si="3"/>
        <v>100.1442364270404</v>
      </c>
      <c r="I35" s="110">
        <f t="shared" si="4"/>
        <v>-10081.199999999997</v>
      </c>
      <c r="J35" s="110">
        <f t="shared" si="5"/>
        <v>88.76521196451657</v>
      </c>
      <c r="K35" s="142">
        <v>50888.07</v>
      </c>
      <c r="L35" s="142">
        <f t="shared" si="1"/>
        <v>28762.730000000003</v>
      </c>
      <c r="M35" s="264">
        <f t="shared" si="10"/>
        <v>1.5652155799974337</v>
      </c>
      <c r="N35" s="111">
        <f>E35-липень!E35</f>
        <v>19100</v>
      </c>
      <c r="O35" s="179">
        <f>F35-липень!F35</f>
        <v>13618.979999999996</v>
      </c>
      <c r="P35" s="112">
        <f t="shared" si="6"/>
        <v>-5481.020000000004</v>
      </c>
      <c r="Q35" s="110">
        <f>O35/N35*100</f>
        <v>71.30356020942406</v>
      </c>
      <c r="R35" s="113"/>
      <c r="S35" s="114"/>
      <c r="T35" s="186">
        <f t="shared" si="8"/>
        <v>10195.919999999998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25</v>
      </c>
      <c r="G36" s="109">
        <f t="shared" si="0"/>
        <v>8.21</v>
      </c>
      <c r="H36" s="111">
        <f t="shared" si="3"/>
        <v>148.89815366289457</v>
      </c>
      <c r="I36" s="110">
        <f t="shared" si="4"/>
        <v>-26</v>
      </c>
      <c r="J36" s="110">
        <f t="shared" si="5"/>
        <v>49.01960784313725</v>
      </c>
      <c r="K36" s="142">
        <v>16.81</v>
      </c>
      <c r="L36" s="142">
        <f t="shared" si="1"/>
        <v>8.190000000000001</v>
      </c>
      <c r="M36" s="264">
        <f t="shared" si="10"/>
        <v>1.48720999405116</v>
      </c>
      <c r="N36" s="111">
        <f>E36-липень!E36</f>
        <v>6.799999999999999</v>
      </c>
      <c r="O36" s="179">
        <f>F36-липень!F36</f>
        <v>4.48</v>
      </c>
      <c r="P36" s="112">
        <f t="shared" si="6"/>
        <v>-2.3199999999999985</v>
      </c>
      <c r="Q36" s="110"/>
      <c r="R36" s="113"/>
      <c r="S36" s="114"/>
      <c r="T36" s="186">
        <f t="shared" si="8"/>
        <v>34.21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F37-липень!F37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43061.03</v>
      </c>
      <c r="F38" s="191">
        <f>F39+F40+F41+F42+F43+F45+F47+F48+F49+F50+F51+F56+F57+F61+F44</f>
        <v>42988.27</v>
      </c>
      <c r="G38" s="191">
        <f>G39+G40+G41+G42+G43+G45+G47+G48+G49+G50+G51+G56+G57+G61</f>
        <v>-99.90999999999931</v>
      </c>
      <c r="H38" s="192">
        <f>F38/E38*100</f>
        <v>99.83103051645537</v>
      </c>
      <c r="I38" s="193">
        <f>F38-D38</f>
        <v>-13847.210000000006</v>
      </c>
      <c r="J38" s="193">
        <f>F38/D38*100</f>
        <v>75.63632787125223</v>
      </c>
      <c r="K38" s="191">
        <v>21607.34</v>
      </c>
      <c r="L38" s="191">
        <f t="shared" si="1"/>
        <v>21380.929999999997</v>
      </c>
      <c r="M38" s="250">
        <f t="shared" si="10"/>
        <v>1.9895216162655838</v>
      </c>
      <c r="N38" s="191">
        <f>N39+N40+N41+N42+N43+N45+N47+N48+N49+N50+N51+N56+N57+N61+N44</f>
        <v>18066</v>
      </c>
      <c r="O38" s="191">
        <f>O39+O40+O41+O42+O43+O45+O47+O48+O49+O50+O51+O56+O57+O61+O44</f>
        <v>6201.989999999999</v>
      </c>
      <c r="P38" s="191">
        <f>P39+P40+P41+P42+P43+P45+P47+P48+P49+P50+P51+P56+P57+P61</f>
        <v>-11863.68</v>
      </c>
      <c r="Q38" s="191">
        <f>O38/N38*100</f>
        <v>34.329624709398864</v>
      </c>
      <c r="R38" s="15" t="e">
        <f>#N/A</f>
        <v>#N/A</v>
      </c>
      <c r="S38" s="15" t="e">
        <f>#N/A</f>
        <v>#N/A</v>
      </c>
      <c r="T38" s="186">
        <f t="shared" si="8"/>
        <v>13774.450000000004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416.84</v>
      </c>
      <c r="G39" s="202">
        <f>F39-E39</f>
        <v>36.839999999999975</v>
      </c>
      <c r="H39" s="204">
        <f aca="true" t="shared" si="11" ref="H39:H62">F39/E39*100</f>
        <v>109.69473684210527</v>
      </c>
      <c r="I39" s="205">
        <f>F39-D39</f>
        <v>16.839999999999975</v>
      </c>
      <c r="J39" s="205">
        <f>F39/D39*100</f>
        <v>104.21000000000001</v>
      </c>
      <c r="K39" s="205">
        <v>-60.36</v>
      </c>
      <c r="L39" s="205">
        <f t="shared" si="1"/>
        <v>477.2</v>
      </c>
      <c r="M39" s="266">
        <f t="shared" si="10"/>
        <v>-6.905897945659377</v>
      </c>
      <c r="N39" s="204">
        <f>E39-липень!E39</f>
        <v>310</v>
      </c>
      <c r="O39" s="208">
        <f>F39-липень!F39</f>
        <v>175.45</v>
      </c>
      <c r="P39" s="207">
        <f>O39-N39</f>
        <v>-134.55</v>
      </c>
      <c r="Q39" s="205">
        <f aca="true" t="shared" si="12" ref="Q39:Q62">O39/N39*100</f>
        <v>56.596774193548384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f>17767+2700</f>
        <v>20467</v>
      </c>
      <c r="F40" s="196">
        <v>20560.18</v>
      </c>
      <c r="G40" s="202">
        <f aca="true" t="shared" si="13" ref="G40:G63">F40-E40</f>
        <v>93.18000000000029</v>
      </c>
      <c r="H40" s="204">
        <f t="shared" si="11"/>
        <v>100.45526945815215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12930</v>
      </c>
      <c r="O40" s="208">
        <f>F40-липень!F40</f>
        <v>3289.16</v>
      </c>
      <c r="P40" s="207">
        <f aca="true" t="shared" si="15" ref="P40:P63">O40-N40</f>
        <v>-9640.84</v>
      </c>
      <c r="Q40" s="205">
        <f t="shared" si="12"/>
        <v>25.43820572312451</v>
      </c>
      <c r="R40" s="42"/>
      <c r="S40" s="100"/>
      <c r="T40" s="186">
        <f t="shared" si="8"/>
        <v>4533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195.12</v>
      </c>
      <c r="G43" s="202">
        <f t="shared" si="13"/>
        <v>115.12</v>
      </c>
      <c r="H43" s="204">
        <f t="shared" si="11"/>
        <v>243.9</v>
      </c>
      <c r="I43" s="205">
        <f t="shared" si="14"/>
        <v>45.120000000000005</v>
      </c>
      <c r="J43" s="205">
        <f t="shared" si="16"/>
        <v>130.07999999999998</v>
      </c>
      <c r="K43" s="205">
        <v>104.06</v>
      </c>
      <c r="L43" s="205">
        <f t="shared" si="1"/>
        <v>91.06</v>
      </c>
      <c r="M43" s="266">
        <f t="shared" si="17"/>
        <v>1.8750720738035749</v>
      </c>
      <c r="N43" s="204">
        <f>E43-липень!E43</f>
        <v>10</v>
      </c>
      <c r="O43" s="208">
        <f>F43-липень!F43</f>
        <v>7.159999999999997</v>
      </c>
      <c r="P43" s="207">
        <f t="shared" si="15"/>
        <v>-2.8400000000000034</v>
      </c>
      <c r="Q43" s="205">
        <f t="shared" si="12"/>
        <v>71.59999999999997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41.15</v>
      </c>
      <c r="G44" s="202">
        <f t="shared" si="13"/>
        <v>27.15</v>
      </c>
      <c r="H44" s="204"/>
      <c r="I44" s="205">
        <f t="shared" si="14"/>
        <v>27.15</v>
      </c>
      <c r="J44" s="205"/>
      <c r="K44" s="205">
        <v>3.5</v>
      </c>
      <c r="L44" s="205">
        <f t="shared" si="1"/>
        <v>37.65</v>
      </c>
      <c r="M44" s="266">
        <f t="shared" si="17"/>
        <v>11.757142857142856</v>
      </c>
      <c r="N44" s="204">
        <f>E44-липень!E44</f>
        <v>14</v>
      </c>
      <c r="O44" s="208">
        <f>F44-липень!F44</f>
        <v>13.669999999999998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328.11</v>
      </c>
      <c r="G45" s="202">
        <f t="shared" si="13"/>
        <v>72.11000000000001</v>
      </c>
      <c r="H45" s="204">
        <f t="shared" si="11"/>
        <v>128.16796875</v>
      </c>
      <c r="I45" s="205">
        <f t="shared" si="14"/>
        <v>28.110000000000014</v>
      </c>
      <c r="J45" s="205">
        <f t="shared" si="16"/>
        <v>109.37</v>
      </c>
      <c r="K45" s="205">
        <v>0</v>
      </c>
      <c r="L45" s="205">
        <f t="shared" si="1"/>
        <v>328.11</v>
      </c>
      <c r="M45" s="266"/>
      <c r="N45" s="204">
        <f>E45-липень!E45</f>
        <v>208</v>
      </c>
      <c r="O45" s="208">
        <f>F45-липень!F45</f>
        <v>79.74000000000001</v>
      </c>
      <c r="P45" s="207">
        <f t="shared" si="15"/>
        <v>-128.26</v>
      </c>
      <c r="Q45" s="205">
        <f t="shared" si="12"/>
        <v>38.33653846153847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f>6139.02+910</f>
        <v>7049.02</v>
      </c>
      <c r="F47" s="196">
        <v>7062.64</v>
      </c>
      <c r="G47" s="202">
        <f t="shared" si="13"/>
        <v>13.61999999999989</v>
      </c>
      <c r="H47" s="204">
        <f t="shared" si="11"/>
        <v>100.19321834808244</v>
      </c>
      <c r="I47" s="205">
        <f t="shared" si="14"/>
        <v>-2837.3599999999997</v>
      </c>
      <c r="J47" s="205">
        <f t="shared" si="16"/>
        <v>71.33979797979798</v>
      </c>
      <c r="K47" s="205">
        <v>6772.05</v>
      </c>
      <c r="L47" s="205">
        <f t="shared" si="1"/>
        <v>290.59000000000015</v>
      </c>
      <c r="M47" s="266">
        <f t="shared" si="17"/>
        <v>1.0429101970599746</v>
      </c>
      <c r="N47" s="204">
        <f>E47-липень!E47</f>
        <v>1710</v>
      </c>
      <c r="O47" s="208">
        <f>F47-липень!F47</f>
        <v>972.0100000000002</v>
      </c>
      <c r="P47" s="207">
        <f t="shared" si="15"/>
        <v>-737.9899999999998</v>
      </c>
      <c r="Q47" s="205">
        <f t="shared" si="12"/>
        <v>56.84269005847955</v>
      </c>
      <c r="R47" s="42"/>
      <c r="S47" s="100"/>
      <c r="T47" s="186">
        <f t="shared" si="8"/>
        <v>2850.9799999999996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168.26</v>
      </c>
      <c r="G48" s="202">
        <f t="shared" si="13"/>
        <v>-481.74</v>
      </c>
      <c r="H48" s="204">
        <f t="shared" si="11"/>
        <v>25.886153846153842</v>
      </c>
      <c r="I48" s="205">
        <f t="shared" si="14"/>
        <v>-481.74</v>
      </c>
      <c r="J48" s="205">
        <f t="shared" si="16"/>
        <v>25.886153846153842</v>
      </c>
      <c r="K48" s="205">
        <v>0</v>
      </c>
      <c r="L48" s="205">
        <f t="shared" si="1"/>
        <v>168.26</v>
      </c>
      <c r="M48" s="266"/>
      <c r="N48" s="204">
        <f>E48-липень!E48</f>
        <v>0</v>
      </c>
      <c r="O48" s="208">
        <f>F48-липень!F48</f>
        <v>50.86999999999999</v>
      </c>
      <c r="P48" s="207">
        <f t="shared" si="15"/>
        <v>50.86999999999999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15.44</v>
      </c>
      <c r="G49" s="202">
        <f t="shared" si="13"/>
        <v>-12.56</v>
      </c>
      <c r="H49" s="204">
        <f t="shared" si="11"/>
        <v>55.14285714285714</v>
      </c>
      <c r="I49" s="205">
        <f t="shared" si="14"/>
        <v>-34.56</v>
      </c>
      <c r="J49" s="205">
        <f t="shared" si="16"/>
        <v>30.879999999999995</v>
      </c>
      <c r="K49" s="205">
        <v>0</v>
      </c>
      <c r="L49" s="205">
        <f t="shared" si="1"/>
        <v>15.44</v>
      </c>
      <c r="M49" s="266"/>
      <c r="N49" s="204">
        <f>E49-липень!E49</f>
        <v>4</v>
      </c>
      <c r="O49" s="208">
        <f>F49-липень!F49</f>
        <v>6.9</v>
      </c>
      <c r="P49" s="207">
        <f t="shared" si="15"/>
        <v>2.9000000000000004</v>
      </c>
      <c r="Q49" s="205">
        <f t="shared" si="12"/>
        <v>172.5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4347.61</v>
      </c>
      <c r="G51" s="202">
        <f t="shared" si="13"/>
        <v>-43.57999999999993</v>
      </c>
      <c r="H51" s="204">
        <f t="shared" si="11"/>
        <v>99.00755831562743</v>
      </c>
      <c r="I51" s="205">
        <f t="shared" si="14"/>
        <v>-2652.4300000000003</v>
      </c>
      <c r="J51" s="205">
        <f t="shared" si="16"/>
        <v>62.108359380803535</v>
      </c>
      <c r="K51" s="205">
        <v>5221.43</v>
      </c>
      <c r="L51" s="205">
        <f t="shared" si="1"/>
        <v>-873.8200000000006</v>
      </c>
      <c r="M51" s="266">
        <f t="shared" si="17"/>
        <v>0.8326473782086515</v>
      </c>
      <c r="N51" s="204">
        <f>E51-липень!E51</f>
        <v>519.9999999999995</v>
      </c>
      <c r="O51" s="208">
        <f>F51-липень!F51</f>
        <v>622.8199999999997</v>
      </c>
      <c r="P51" s="207">
        <f t="shared" si="15"/>
        <v>102.82000000000016</v>
      </c>
      <c r="Q51" s="205">
        <f t="shared" si="12"/>
        <v>119.77307692307697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570.13</v>
      </c>
      <c r="G52" s="36">
        <f t="shared" si="13"/>
        <v>-93.86000000000001</v>
      </c>
      <c r="H52" s="32">
        <f t="shared" si="11"/>
        <v>85.86424494344794</v>
      </c>
      <c r="I52" s="110">
        <f t="shared" si="14"/>
        <v>-399.87</v>
      </c>
      <c r="J52" s="110">
        <f t="shared" si="16"/>
        <v>58.77628865979382</v>
      </c>
      <c r="K52" s="110">
        <v>735.13</v>
      </c>
      <c r="L52" s="110">
        <f>F52-K52</f>
        <v>-165</v>
      </c>
      <c r="M52" s="115">
        <f t="shared" si="17"/>
        <v>0.7755499027382912</v>
      </c>
      <c r="N52" s="111">
        <f>E52-липень!E52</f>
        <v>20</v>
      </c>
      <c r="O52" s="179">
        <f>F52-липень!F52</f>
        <v>65.99000000000001</v>
      </c>
      <c r="P52" s="112">
        <f t="shared" si="15"/>
        <v>45.99000000000001</v>
      </c>
      <c r="Q52" s="132">
        <f t="shared" si="12"/>
        <v>329.95000000000005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3777.19</v>
      </c>
      <c r="G55" s="36">
        <f t="shared" si="13"/>
        <v>55.01999999999998</v>
      </c>
      <c r="H55" s="32">
        <f t="shared" si="11"/>
        <v>101.4781699922357</v>
      </c>
      <c r="I55" s="110">
        <f t="shared" si="14"/>
        <v>-2246.81</v>
      </c>
      <c r="J55" s="110">
        <f t="shared" si="16"/>
        <v>62.7023572377158</v>
      </c>
      <c r="K55" s="110">
        <v>4440.11</v>
      </c>
      <c r="L55" s="110">
        <f>F55-K55</f>
        <v>-662.9199999999996</v>
      </c>
      <c r="M55" s="115">
        <f t="shared" si="17"/>
        <v>0.8506973926321646</v>
      </c>
      <c r="N55" s="111">
        <f>E55-липень!E55</f>
        <v>500</v>
      </c>
      <c r="O55" s="179">
        <f>F55-липень!F55</f>
        <v>556.81</v>
      </c>
      <c r="P55" s="112">
        <f t="shared" si="15"/>
        <v>56.809999999999945</v>
      </c>
      <c r="Q55" s="132">
        <f t="shared" si="12"/>
        <v>111.36199999999998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f>3567.98+700</f>
        <v>4267.98</v>
      </c>
      <c r="F57" s="196">
        <v>4601.83</v>
      </c>
      <c r="G57" s="202">
        <f t="shared" si="13"/>
        <v>333.85000000000036</v>
      </c>
      <c r="H57" s="204">
        <f t="shared" si="11"/>
        <v>107.8222016035689</v>
      </c>
      <c r="I57" s="205">
        <f t="shared" si="14"/>
        <v>-548.1700000000001</v>
      </c>
      <c r="J57" s="205">
        <f t="shared" si="16"/>
        <v>89.35592233009709</v>
      </c>
      <c r="K57" s="205">
        <v>3192.65</v>
      </c>
      <c r="L57" s="205">
        <f aca="true" t="shared" si="18" ref="L57:L63">F57-K57</f>
        <v>1409.1799999999998</v>
      </c>
      <c r="M57" s="266">
        <f t="shared" si="17"/>
        <v>1.4413825505457847</v>
      </c>
      <c r="N57" s="204">
        <f>E57-липень!E57</f>
        <v>1629.9999999999995</v>
      </c>
      <c r="O57" s="208">
        <f>F57-липень!F57</f>
        <v>339.9300000000003</v>
      </c>
      <c r="P57" s="207">
        <f t="shared" si="15"/>
        <v>-1290.0699999999993</v>
      </c>
      <c r="Q57" s="205">
        <f t="shared" si="12"/>
        <v>20.85460122699389</v>
      </c>
      <c r="R57" s="42"/>
      <c r="S57" s="100"/>
      <c r="T57" s="186">
        <f t="shared" si="8"/>
        <v>882.0200000000004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889.8</v>
      </c>
      <c r="G59" s="202"/>
      <c r="H59" s="204"/>
      <c r="I59" s="205"/>
      <c r="J59" s="205"/>
      <c r="K59" s="206">
        <v>890.52</v>
      </c>
      <c r="L59" s="205">
        <f t="shared" si="18"/>
        <v>-0.7200000000000273</v>
      </c>
      <c r="M59" s="266">
        <f t="shared" si="17"/>
        <v>0.9991914836275434</v>
      </c>
      <c r="N59" s="236"/>
      <c r="O59" s="220">
        <f>F59-липень!F59</f>
        <v>158.91999999999996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152.27</v>
      </c>
      <c r="G61" s="202">
        <f t="shared" si="13"/>
        <v>52.27000000000001</v>
      </c>
      <c r="H61" s="204">
        <f t="shared" si="11"/>
        <v>152.27</v>
      </c>
      <c r="I61" s="205">
        <f t="shared" si="14"/>
        <v>52.27000000000001</v>
      </c>
      <c r="J61" s="205">
        <f t="shared" si="16"/>
        <v>152.27</v>
      </c>
      <c r="K61" s="205">
        <v>0.6</v>
      </c>
      <c r="L61" s="205">
        <f t="shared" si="18"/>
        <v>151.67000000000002</v>
      </c>
      <c r="M61" s="266">
        <f t="shared" si="17"/>
        <v>253.78333333333336</v>
      </c>
      <c r="N61" s="204">
        <f>E61-липень!E61</f>
        <v>80</v>
      </c>
      <c r="O61" s="208">
        <f>F61-липень!F61</f>
        <v>74.09</v>
      </c>
      <c r="P61" s="207">
        <f t="shared" si="15"/>
        <v>-5.909999999999997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672436.01</v>
      </c>
      <c r="F64" s="191">
        <f>F8+F38+F62+F63-0.02</f>
        <v>676523.63</v>
      </c>
      <c r="G64" s="191">
        <f>F64-E64</f>
        <v>4087.6199999999953</v>
      </c>
      <c r="H64" s="192">
        <f>F64/E64*100</f>
        <v>100.60788237679299</v>
      </c>
      <c r="I64" s="193">
        <f>F64-D64</f>
        <v>-314414.1000000001</v>
      </c>
      <c r="J64" s="193">
        <f>F64/D64*100</f>
        <v>68.27105372201339</v>
      </c>
      <c r="K64" s="193">
        <v>451134.19</v>
      </c>
      <c r="L64" s="193">
        <f>F64-K64</f>
        <v>225389.44</v>
      </c>
      <c r="M64" s="267">
        <f>F64/K64</f>
        <v>1.4996062036441973</v>
      </c>
      <c r="N64" s="191">
        <f>N8+N38+N62+N63</f>
        <v>148475.19999999995</v>
      </c>
      <c r="O64" s="191">
        <f>O8+O38+O62+O63-0.03</f>
        <v>95915.83999999997</v>
      </c>
      <c r="P64" s="195">
        <f>O64-N64</f>
        <v>-52559.359999999986</v>
      </c>
      <c r="Q64" s="193">
        <f>O64/N64*100</f>
        <v>64.60057976012156</v>
      </c>
      <c r="R64" s="28">
        <f>O64-34768</f>
        <v>61147.83999999997</v>
      </c>
      <c r="S64" s="128">
        <f>O64/34768</f>
        <v>2.758739070409571</v>
      </c>
      <c r="T64" s="186">
        <f t="shared" si="8"/>
        <v>318501.7200000001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-3.83</v>
      </c>
      <c r="G70" s="202">
        <f>F70-E70</f>
        <v>-3.83</v>
      </c>
      <c r="H70" s="204"/>
      <c r="I70" s="207">
        <f>F70-D70</f>
        <v>-3.83</v>
      </c>
      <c r="J70" s="207"/>
      <c r="K70" s="207">
        <v>-49.19</v>
      </c>
      <c r="L70" s="207">
        <f>F70-K70</f>
        <v>45.36</v>
      </c>
      <c r="M70" s="254">
        <f>F70/K70</f>
        <v>0.07786135393372637</v>
      </c>
      <c r="N70" s="204"/>
      <c r="O70" s="223">
        <f>F70-липень!F70</f>
        <v>-1.5300000000000002</v>
      </c>
      <c r="P70" s="207">
        <f>O70-N70</f>
        <v>-1.5300000000000002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-3.8200000000000003</v>
      </c>
      <c r="G71" s="226">
        <f>F71-E71</f>
        <v>-3.8200000000000003</v>
      </c>
      <c r="H71" s="227"/>
      <c r="I71" s="228">
        <f>F71-D71</f>
        <v>-3.8200000000000003</v>
      </c>
      <c r="J71" s="228"/>
      <c r="K71" s="228">
        <v>-49.19</v>
      </c>
      <c r="L71" s="228">
        <f>F71-K71</f>
        <v>45.37</v>
      </c>
      <c r="M71" s="260">
        <f>F71/K71</f>
        <v>0.077658060581419</v>
      </c>
      <c r="N71" s="226">
        <f>N70</f>
        <v>0</v>
      </c>
      <c r="O71" s="229">
        <f>SUM(O69:O70)</f>
        <v>-1.5300000000000002</v>
      </c>
      <c r="P71" s="228">
        <f>O71-N71</f>
        <v>-1.5300000000000002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1535.17</v>
      </c>
      <c r="G73" s="202">
        <f aca="true" t="shared" si="19" ref="G73:G83">F73-E73</f>
        <v>-664.8299999999999</v>
      </c>
      <c r="H73" s="204"/>
      <c r="I73" s="207">
        <f aca="true" t="shared" si="20" ref="I73:I83">F73-D73</f>
        <v>-2664.83</v>
      </c>
      <c r="J73" s="207">
        <f>F73/D73*100</f>
        <v>36.55166666666666</v>
      </c>
      <c r="K73" s="207">
        <v>593.02</v>
      </c>
      <c r="L73" s="207">
        <f aca="true" t="shared" si="21" ref="L73:L83">F73-K73</f>
        <v>942.1500000000001</v>
      </c>
      <c r="M73" s="254">
        <f>F73/K73</f>
        <v>2.5887322518633438</v>
      </c>
      <c r="N73" s="204">
        <f>E73-липень!E73</f>
        <v>400</v>
      </c>
      <c r="O73" s="208">
        <f>F73-липень!F73</f>
        <v>0.11000000000012733</v>
      </c>
      <c r="P73" s="207">
        <f aca="true" t="shared" si="22" ref="P73:P86">O73-N73</f>
        <v>-399.8899999999999</v>
      </c>
      <c r="Q73" s="207">
        <f>O73/N73*100</f>
        <v>0.027500000000031832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6783.53</v>
      </c>
      <c r="G74" s="202">
        <f t="shared" si="19"/>
        <v>2906.3199999999997</v>
      </c>
      <c r="H74" s="204">
        <f>F74/E74*100</f>
        <v>174.95905560957493</v>
      </c>
      <c r="I74" s="207">
        <f t="shared" si="20"/>
        <v>-675.4700000000003</v>
      </c>
      <c r="J74" s="207">
        <f>F74/D74*100</f>
        <v>90.94422844885372</v>
      </c>
      <c r="K74" s="207">
        <v>3758.64</v>
      </c>
      <c r="L74" s="207">
        <f t="shared" si="21"/>
        <v>3024.89</v>
      </c>
      <c r="M74" s="254">
        <f>F74/K74</f>
        <v>1.8047831130408871</v>
      </c>
      <c r="N74" s="204">
        <f>E74-липень!E74</f>
        <v>549.9000000000001</v>
      </c>
      <c r="O74" s="208">
        <f>F74-липень!F74</f>
        <v>32.029999999999745</v>
      </c>
      <c r="P74" s="207">
        <f t="shared" si="22"/>
        <v>-517.8700000000003</v>
      </c>
      <c r="Q74" s="207">
        <f>O74/N74*100</f>
        <v>5.824695399163437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10477.14</v>
      </c>
      <c r="G75" s="202">
        <f t="shared" si="19"/>
        <v>8080.289999999999</v>
      </c>
      <c r="H75" s="204">
        <f>F75/E75*100</f>
        <v>437.1212216033544</v>
      </c>
      <c r="I75" s="207">
        <f t="shared" si="20"/>
        <v>4477.139999999999</v>
      </c>
      <c r="J75" s="207">
        <f>F75/D75*100</f>
        <v>174.619</v>
      </c>
      <c r="K75" s="207">
        <v>1838.64</v>
      </c>
      <c r="L75" s="207">
        <f t="shared" si="21"/>
        <v>8638.5</v>
      </c>
      <c r="M75" s="254">
        <f>F75/K75</f>
        <v>5.698309620154026</v>
      </c>
      <c r="N75" s="204">
        <f>E75-липень!E75</f>
        <v>302</v>
      </c>
      <c r="O75" s="208">
        <f>F75-липень!F75</f>
        <v>967.4499999999989</v>
      </c>
      <c r="P75" s="207">
        <f t="shared" si="22"/>
        <v>665.4499999999989</v>
      </c>
      <c r="Q75" s="207">
        <f>O75/N75*100</f>
        <v>320.34768211920493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18801.84</v>
      </c>
      <c r="G77" s="226">
        <f t="shared" si="19"/>
        <v>10319.78</v>
      </c>
      <c r="H77" s="227">
        <f>F77/E77*100</f>
        <v>221.66596322119864</v>
      </c>
      <c r="I77" s="228">
        <f t="shared" si="20"/>
        <v>1130.8400000000001</v>
      </c>
      <c r="J77" s="228">
        <f>F77/D77*100</f>
        <v>106.39941146511234</v>
      </c>
      <c r="K77" s="228">
        <v>5991.37</v>
      </c>
      <c r="L77" s="228">
        <f t="shared" si="21"/>
        <v>12810.470000000001</v>
      </c>
      <c r="M77" s="260">
        <f>F77/K77</f>
        <v>3.1381537110877815</v>
      </c>
      <c r="N77" s="226">
        <f>N73+N74+N75+N76</f>
        <v>1252.9</v>
      </c>
      <c r="O77" s="230">
        <f>O73+O74+O75+O76</f>
        <v>999.5899999999988</v>
      </c>
      <c r="P77" s="228">
        <f t="shared" si="22"/>
        <v>-253.3100000000013</v>
      </c>
      <c r="Q77" s="228">
        <f>O77/N77*100</f>
        <v>79.78210551520462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6824.83</v>
      </c>
      <c r="G80" s="202">
        <f t="shared" si="19"/>
        <v>-798.7700000000004</v>
      </c>
      <c r="H80" s="204">
        <f>F80/E80*100</f>
        <v>89.52240411354215</v>
      </c>
      <c r="I80" s="207">
        <f t="shared" si="20"/>
        <v>-2675.17</v>
      </c>
      <c r="J80" s="207">
        <f>F80/D80*100</f>
        <v>71.84031578947369</v>
      </c>
      <c r="K80" s="207">
        <v>0</v>
      </c>
      <c r="L80" s="207">
        <f t="shared" si="21"/>
        <v>6824.83</v>
      </c>
      <c r="M80" s="254"/>
      <c r="N80" s="204">
        <f>E80-липень!E80</f>
        <v>2496.3</v>
      </c>
      <c r="O80" s="208">
        <f>F80-липень!F80</f>
        <v>1922.4899999999998</v>
      </c>
      <c r="P80" s="207">
        <f>O80-N80</f>
        <v>-573.8100000000004</v>
      </c>
      <c r="Q80" s="231">
        <f>O80/N80*100</f>
        <v>77.01358009854583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1.09</v>
      </c>
      <c r="G81" s="202">
        <f t="shared" si="19"/>
        <v>1.09</v>
      </c>
      <c r="H81" s="204"/>
      <c r="I81" s="207">
        <f t="shared" si="20"/>
        <v>1.09</v>
      </c>
      <c r="J81" s="207"/>
      <c r="K81" s="207">
        <v>0.88</v>
      </c>
      <c r="L81" s="207">
        <f t="shared" si="21"/>
        <v>0.21000000000000008</v>
      </c>
      <c r="M81" s="254">
        <f>F81/K81</f>
        <v>1.2386363636363638</v>
      </c>
      <c r="N81" s="204">
        <f>E81-липень!E81</f>
        <v>0</v>
      </c>
      <c r="O81" s="208">
        <f>F81-липень!F81</f>
        <v>0.17000000000000004</v>
      </c>
      <c r="P81" s="207">
        <f t="shared" si="22"/>
        <v>0.17000000000000004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6831.59</v>
      </c>
      <c r="G82" s="224">
        <f>G78+G81+G79+G80</f>
        <v>-792.0100000000004</v>
      </c>
      <c r="H82" s="227">
        <f>F82/E82*100</f>
        <v>89.61107613201112</v>
      </c>
      <c r="I82" s="228">
        <f t="shared" si="20"/>
        <v>-2669.41</v>
      </c>
      <c r="J82" s="228">
        <f>F82/D82*100</f>
        <v>71.90390485212083</v>
      </c>
      <c r="K82" s="228">
        <v>0.83</v>
      </c>
      <c r="L82" s="228">
        <f t="shared" si="21"/>
        <v>6830.76</v>
      </c>
      <c r="M82" s="268">
        <f>F82/K82</f>
        <v>8230.831325301206</v>
      </c>
      <c r="N82" s="226">
        <f>N78+N81+N79+N80</f>
        <v>2496.3</v>
      </c>
      <c r="O82" s="230">
        <f>O78+O81+O79+O80</f>
        <v>1923.12</v>
      </c>
      <c r="P82" s="226">
        <f>P78+P81+P79+P80</f>
        <v>-573.1800000000004</v>
      </c>
      <c r="Q82" s="228">
        <f>O82/N82*100</f>
        <v>77.03881744982574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19.38</v>
      </c>
      <c r="G83" s="202">
        <f t="shared" si="19"/>
        <v>-1.4200000000000017</v>
      </c>
      <c r="H83" s="204">
        <f>F83/E83*100</f>
        <v>93.17307692307692</v>
      </c>
      <c r="I83" s="207">
        <f t="shared" si="20"/>
        <v>-23.62</v>
      </c>
      <c r="J83" s="207">
        <f>F83/D83*100</f>
        <v>45.06976744186046</v>
      </c>
      <c r="K83" s="207">
        <v>21.06</v>
      </c>
      <c r="L83" s="207">
        <f t="shared" si="21"/>
        <v>-1.6799999999999997</v>
      </c>
      <c r="M83" s="254">
        <f>F83/K83</f>
        <v>0.9202279202279202</v>
      </c>
      <c r="N83" s="204">
        <f>E83-липень!E83</f>
        <v>0.5</v>
      </c>
      <c r="O83" s="208">
        <f>F83-липень!F83</f>
        <v>0.6199999999999974</v>
      </c>
      <c r="P83" s="207">
        <f t="shared" si="22"/>
        <v>0.11999999999999744</v>
      </c>
      <c r="Q83" s="207">
        <f>O83/N83</f>
        <v>1.2399999999999949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25648.99</v>
      </c>
      <c r="G85" s="233">
        <f>F85-E85</f>
        <v>9522.530000000002</v>
      </c>
      <c r="H85" s="234">
        <f>F85/E85*100</f>
        <v>159.04910315097055</v>
      </c>
      <c r="I85" s="235">
        <f>F85-D85</f>
        <v>-1566.0099999999984</v>
      </c>
      <c r="J85" s="235">
        <f>F85/D85*100</f>
        <v>94.24578357523426</v>
      </c>
      <c r="K85" s="235">
        <v>6163.42</v>
      </c>
      <c r="L85" s="235">
        <f>F85-K85</f>
        <v>19485.57</v>
      </c>
      <c r="M85" s="269">
        <f>F85/K85</f>
        <v>4.161486642156465</v>
      </c>
      <c r="N85" s="232">
        <f>N71+N83+N77+N82</f>
        <v>3749.7000000000003</v>
      </c>
      <c r="O85" s="232">
        <f>O71+O83+O77+O82+O84</f>
        <v>2921.799999999999</v>
      </c>
      <c r="P85" s="235">
        <f t="shared" si="22"/>
        <v>-827.9000000000015</v>
      </c>
      <c r="Q85" s="235">
        <f>O85/N85*100</f>
        <v>77.92090033869373</v>
      </c>
      <c r="R85" s="28">
        <f>O85-8104.96</f>
        <v>-5183.160000000002</v>
      </c>
      <c r="S85" s="101">
        <f>O85/8104.96</f>
        <v>0.3604953016424509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688562.47</v>
      </c>
      <c r="F86" s="232">
        <f>F64+F85</f>
        <v>702172.62</v>
      </c>
      <c r="G86" s="233">
        <f>F86-E86</f>
        <v>13610.150000000023</v>
      </c>
      <c r="H86" s="234">
        <f>F86/E86*100</f>
        <v>101.97660351717978</v>
      </c>
      <c r="I86" s="235">
        <f>F86-D86</f>
        <v>-315980.1100000001</v>
      </c>
      <c r="J86" s="235">
        <f>F86/D86*100</f>
        <v>68.96535257534495</v>
      </c>
      <c r="K86" s="235">
        <f>K64+K85</f>
        <v>457297.61</v>
      </c>
      <c r="L86" s="235">
        <f>F86-K86</f>
        <v>244875.01</v>
      </c>
      <c r="M86" s="269">
        <f>F86/K86</f>
        <v>1.5354828117295432</v>
      </c>
      <c r="N86" s="233">
        <f>N64+N85</f>
        <v>152224.89999999997</v>
      </c>
      <c r="O86" s="233">
        <f>O64+O85</f>
        <v>98837.63999999997</v>
      </c>
      <c r="P86" s="235">
        <f t="shared" si="22"/>
        <v>-53387.259999999995</v>
      </c>
      <c r="Q86" s="235">
        <f>O86/N86*100</f>
        <v>64.92869432004882</v>
      </c>
      <c r="R86" s="28">
        <f>O86-42872.96</f>
        <v>55964.67999999997</v>
      </c>
      <c r="S86" s="101">
        <f>O86/42872.96</f>
        <v>2.305360768185821</v>
      </c>
      <c r="T86" s="186">
        <f t="shared" si="23"/>
        <v>329590.2600000001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 t="e">
        <f>IF(P64&lt;0,ABS(P64/C88),0)</f>
        <v>#DIV/0!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42613</v>
      </c>
      <c r="D90" s="31">
        <v>3902.6</v>
      </c>
      <c r="G90" s="4" t="s">
        <v>59</v>
      </c>
      <c r="O90" s="424"/>
      <c r="P90" s="424"/>
      <c r="T90" s="186">
        <f t="shared" si="23"/>
        <v>3902.6</v>
      </c>
    </row>
    <row r="91" spans="3:16" ht="15">
      <c r="C91" s="87">
        <v>42612</v>
      </c>
      <c r="D91" s="31">
        <v>10466.3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42611</v>
      </c>
      <c r="D92" s="31">
        <v>8603.9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" customHeight="1">
      <c r="B94" s="422" t="s">
        <v>57</v>
      </c>
      <c r="C94" s="423"/>
      <c r="D94" s="148">
        <f>'[1]залишки  (2)'!$G$6/1000</f>
        <v>972.23779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>
      <c r="D97" s="73">
        <f>D45+D48+D49</f>
        <v>1000</v>
      </c>
      <c r="E97" s="73">
        <f>E45+E48+E49</f>
        <v>934</v>
      </c>
      <c r="F97" s="247">
        <f>F45+F48+F49</f>
        <v>511.81</v>
      </c>
      <c r="G97" s="73">
        <f>G45+G48+G49</f>
        <v>-422.19</v>
      </c>
      <c r="H97" s="74"/>
      <c r="I97" s="74"/>
      <c r="N97" s="31">
        <f>N45+N48+N49</f>
        <v>212</v>
      </c>
      <c r="O97" s="246">
        <f>O45+O48+O49</f>
        <v>137.51000000000002</v>
      </c>
      <c r="P97" s="31">
        <f>P45+P48+P49</f>
        <v>-74.49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1" sqref="G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39" t="s">
        <v>188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92"/>
      <c r="S1" s="93"/>
    </row>
    <row r="2" spans="2:19" s="1" customFormat="1" ht="15.75" customHeight="1">
      <c r="B2" s="440"/>
      <c r="C2" s="440"/>
      <c r="D2" s="440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89"/>
      <c r="N3" s="449" t="s">
        <v>183</v>
      </c>
      <c r="O3" s="450" t="s">
        <v>184</v>
      </c>
      <c r="P3" s="450"/>
      <c r="Q3" s="450"/>
      <c r="R3" s="450"/>
      <c r="S3" s="450"/>
    </row>
    <row r="4" spans="1:19" ht="22.5" customHeight="1">
      <c r="A4" s="441"/>
      <c r="B4" s="443"/>
      <c r="C4" s="444"/>
      <c r="D4" s="445"/>
      <c r="E4" s="451" t="s">
        <v>179</v>
      </c>
      <c r="F4" s="433" t="s">
        <v>34</v>
      </c>
      <c r="G4" s="426" t="s">
        <v>180</v>
      </c>
      <c r="H4" s="435" t="s">
        <v>181</v>
      </c>
      <c r="I4" s="426" t="s">
        <v>122</v>
      </c>
      <c r="J4" s="435" t="s">
        <v>123</v>
      </c>
      <c r="K4" s="91" t="s">
        <v>186</v>
      </c>
      <c r="L4" s="249" t="s">
        <v>185</v>
      </c>
      <c r="M4" s="96" t="s">
        <v>64</v>
      </c>
      <c r="N4" s="435"/>
      <c r="O4" s="437" t="s">
        <v>189</v>
      </c>
      <c r="P4" s="426" t="s">
        <v>50</v>
      </c>
      <c r="Q4" s="428" t="s">
        <v>49</v>
      </c>
      <c r="R4" s="97" t="s">
        <v>65</v>
      </c>
      <c r="S4" s="98" t="s">
        <v>64</v>
      </c>
    </row>
    <row r="5" spans="1:19" ht="67.5" customHeight="1">
      <c r="A5" s="442"/>
      <c r="B5" s="443"/>
      <c r="C5" s="444"/>
      <c r="D5" s="445"/>
      <c r="E5" s="452"/>
      <c r="F5" s="434"/>
      <c r="G5" s="427"/>
      <c r="H5" s="436"/>
      <c r="I5" s="427"/>
      <c r="J5" s="436"/>
      <c r="K5" s="429" t="s">
        <v>182</v>
      </c>
      <c r="L5" s="430"/>
      <c r="M5" s="431"/>
      <c r="N5" s="436"/>
      <c r="O5" s="438"/>
      <c r="P5" s="427"/>
      <c r="Q5" s="428"/>
      <c r="R5" s="429" t="s">
        <v>120</v>
      </c>
      <c r="S5" s="431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730.88</v>
      </c>
      <c r="G59" s="202"/>
      <c r="H59" s="204"/>
      <c r="I59" s="205"/>
      <c r="J59" s="205"/>
      <c r="K59" s="206">
        <v>683.21</v>
      </c>
      <c r="L59" s="205">
        <f t="shared" si="24"/>
        <v>47.66999999999996</v>
      </c>
      <c r="M59" s="266">
        <f t="shared" si="25"/>
        <v>1.0697735688880432</v>
      </c>
      <c r="N59" s="236"/>
      <c r="O59" s="220">
        <f>F59-червень!F58</f>
        <v>139.21000000000004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2"/>
      <c r="H89" s="432"/>
      <c r="I89" s="432"/>
      <c r="J89" s="432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24"/>
      <c r="P90" s="424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18"/>
      <c r="H91" s="418"/>
      <c r="I91" s="131"/>
      <c r="J91" s="421"/>
      <c r="K91" s="421"/>
      <c r="L91" s="421"/>
      <c r="M91" s="421"/>
      <c r="N91" s="421"/>
      <c r="O91" s="424"/>
      <c r="P91" s="424"/>
    </row>
    <row r="92" spans="3:16" ht="15.75" customHeight="1">
      <c r="C92" s="87">
        <v>42578</v>
      </c>
      <c r="D92" s="31">
        <v>8357.1</v>
      </c>
      <c r="F92" s="73"/>
      <c r="G92" s="418"/>
      <c r="H92" s="418"/>
      <c r="I92" s="131"/>
      <c r="J92" s="425"/>
      <c r="K92" s="425"/>
      <c r="L92" s="425"/>
      <c r="M92" s="425"/>
      <c r="N92" s="425"/>
      <c r="O92" s="424"/>
      <c r="P92" s="424"/>
    </row>
    <row r="93" spans="3:14" ht="15.75" customHeight="1">
      <c r="C93" s="87"/>
      <c r="F93" s="73"/>
      <c r="G93" s="420"/>
      <c r="H93" s="420"/>
      <c r="I93" s="139"/>
      <c r="J93" s="421"/>
      <c r="K93" s="421"/>
      <c r="L93" s="421"/>
      <c r="M93" s="421"/>
      <c r="N93" s="421"/>
    </row>
    <row r="94" spans="2:14" ht="18.75" customHeight="1">
      <c r="B94" s="422" t="s">
        <v>57</v>
      </c>
      <c r="C94" s="423"/>
      <c r="D94" s="148">
        <v>14372.98265</v>
      </c>
      <c r="E94" s="74"/>
      <c r="F94" s="140" t="s">
        <v>137</v>
      </c>
      <c r="G94" s="418"/>
      <c r="H94" s="418"/>
      <c r="I94" s="141"/>
      <c r="J94" s="421"/>
      <c r="K94" s="421"/>
      <c r="L94" s="421"/>
      <c r="M94" s="421"/>
      <c r="N94" s="421"/>
    </row>
    <row r="95" spans="6:13" ht="9.75" customHeight="1" hidden="1">
      <c r="F95" s="73"/>
      <c r="G95" s="418"/>
      <c r="H95" s="418"/>
      <c r="I95" s="73"/>
      <c r="J95" s="74"/>
      <c r="K95" s="74"/>
      <c r="L95" s="74"/>
      <c r="M95" s="74"/>
    </row>
    <row r="96" spans="2:13" ht="22.5" customHeight="1" hidden="1">
      <c r="B96" s="416" t="s">
        <v>60</v>
      </c>
      <c r="C96" s="417"/>
      <c r="D96" s="86">
        <v>0</v>
      </c>
      <c r="E96" s="56" t="s">
        <v>24</v>
      </c>
      <c r="F96" s="73"/>
      <c r="G96" s="418"/>
      <c r="H96" s="418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19"/>
      <c r="P98" s="419"/>
    </row>
    <row r="99" spans="15:16" ht="15">
      <c r="O99" s="418"/>
      <c r="P99" s="418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7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13" sqref="K1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53" t="s">
        <v>177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172</v>
      </c>
      <c r="N3" s="428" t="s">
        <v>173</v>
      </c>
      <c r="O3" s="428"/>
      <c r="P3" s="428"/>
      <c r="Q3" s="428"/>
      <c r="R3" s="428"/>
    </row>
    <row r="4" spans="1:18" ht="22.5" customHeight="1">
      <c r="A4" s="441"/>
      <c r="B4" s="443"/>
      <c r="C4" s="444"/>
      <c r="D4" s="445"/>
      <c r="E4" s="451" t="s">
        <v>170</v>
      </c>
      <c r="F4" s="454" t="s">
        <v>34</v>
      </c>
      <c r="G4" s="426" t="s">
        <v>171</v>
      </c>
      <c r="H4" s="435" t="s">
        <v>175</v>
      </c>
      <c r="I4" s="426" t="s">
        <v>122</v>
      </c>
      <c r="J4" s="435" t="s">
        <v>123</v>
      </c>
      <c r="K4" s="248" t="s">
        <v>65</v>
      </c>
      <c r="L4" s="283" t="s">
        <v>64</v>
      </c>
      <c r="M4" s="435"/>
      <c r="N4" s="437" t="s">
        <v>178</v>
      </c>
      <c r="O4" s="426" t="s">
        <v>50</v>
      </c>
      <c r="P4" s="428" t="s">
        <v>49</v>
      </c>
      <c r="Q4" s="284" t="s">
        <v>65</v>
      </c>
      <c r="R4" s="285" t="s">
        <v>64</v>
      </c>
    </row>
    <row r="5" spans="1:18" ht="67.5" customHeight="1">
      <c r="A5" s="442"/>
      <c r="B5" s="443"/>
      <c r="C5" s="444"/>
      <c r="D5" s="445"/>
      <c r="E5" s="452"/>
      <c r="F5" s="455"/>
      <c r="G5" s="427"/>
      <c r="H5" s="436"/>
      <c r="I5" s="427"/>
      <c r="J5" s="436"/>
      <c r="K5" s="429" t="s">
        <v>174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v>591.67</v>
      </c>
      <c r="G58" s="310"/>
      <c r="H58" s="311"/>
      <c r="I58" s="312"/>
      <c r="J58" s="312"/>
      <c r="K58" s="313">
        <f>F58-577.4</f>
        <v>14.269999999999982</v>
      </c>
      <c r="L58" s="313">
        <f>F58/577.4*100</f>
        <v>102.47142362313821</v>
      </c>
      <c r="M58" s="341"/>
      <c r="N58" s="342">
        <f>F58-травень!F58</f>
        <v>112.99999999999994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24"/>
      <c r="O89" s="424"/>
    </row>
    <row r="90" spans="3:15" ht="15">
      <c r="C90" s="87">
        <v>42550</v>
      </c>
      <c r="D90" s="31">
        <v>11029.3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42545</v>
      </c>
      <c r="D91" s="31">
        <v>6499.7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9447.89588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2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8" sqref="F5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168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162</v>
      </c>
      <c r="N3" s="450" t="s">
        <v>163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158</v>
      </c>
      <c r="F4" s="456" t="s">
        <v>34</v>
      </c>
      <c r="G4" s="426" t="s">
        <v>159</v>
      </c>
      <c r="H4" s="435" t="s">
        <v>160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169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161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30.75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2"/>
      <c r="H88" s="432"/>
      <c r="I88" s="432"/>
      <c r="J88" s="432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24"/>
      <c r="O89" s="424"/>
    </row>
    <row r="90" spans="3:15" ht="15">
      <c r="C90" s="87">
        <v>42520</v>
      </c>
      <c r="D90" s="31">
        <v>8891</v>
      </c>
      <c r="F90" s="124" t="s">
        <v>59</v>
      </c>
      <c r="G90" s="418"/>
      <c r="H90" s="418"/>
      <c r="I90" s="131"/>
      <c r="J90" s="421"/>
      <c r="K90" s="421"/>
      <c r="L90" s="421"/>
      <c r="M90" s="421"/>
      <c r="N90" s="424"/>
      <c r="O90" s="424"/>
    </row>
    <row r="91" spans="3:15" ht="15.75" customHeight="1">
      <c r="C91" s="87">
        <v>42517</v>
      </c>
      <c r="D91" s="31">
        <v>7356.3</v>
      </c>
      <c r="F91" s="73"/>
      <c r="G91" s="418"/>
      <c r="H91" s="418"/>
      <c r="I91" s="131"/>
      <c r="J91" s="425"/>
      <c r="K91" s="425"/>
      <c r="L91" s="425"/>
      <c r="M91" s="425"/>
      <c r="N91" s="424"/>
      <c r="O91" s="424"/>
    </row>
    <row r="92" spans="3:13" ht="15.75" customHeight="1">
      <c r="C92" s="87"/>
      <c r="F92" s="73"/>
      <c r="G92" s="420"/>
      <c r="H92" s="420"/>
      <c r="I92" s="139"/>
      <c r="J92" s="421"/>
      <c r="K92" s="421"/>
      <c r="L92" s="421"/>
      <c r="M92" s="421"/>
    </row>
    <row r="93" spans="2:13" ht="18.75" customHeight="1">
      <c r="B93" s="422" t="s">
        <v>57</v>
      </c>
      <c r="C93" s="423"/>
      <c r="D93" s="148">
        <v>2811.04042</v>
      </c>
      <c r="E93" s="74"/>
      <c r="F93" s="140" t="s">
        <v>137</v>
      </c>
      <c r="G93" s="418"/>
      <c r="H93" s="418"/>
      <c r="I93" s="141"/>
      <c r="J93" s="421"/>
      <c r="K93" s="421"/>
      <c r="L93" s="421"/>
      <c r="M93" s="421"/>
    </row>
    <row r="94" spans="6:12" ht="9.75" customHeight="1">
      <c r="F94" s="73"/>
      <c r="G94" s="418"/>
      <c r="H94" s="418"/>
      <c r="I94" s="73"/>
      <c r="J94" s="74"/>
      <c r="K94" s="74"/>
      <c r="L94" s="74"/>
    </row>
    <row r="95" spans="2:12" ht="22.5" customHeight="1">
      <c r="B95" s="416" t="s">
        <v>60</v>
      </c>
      <c r="C95" s="417"/>
      <c r="D95" s="86">
        <v>0</v>
      </c>
      <c r="E95" s="56" t="s">
        <v>24</v>
      </c>
      <c r="F95" s="73"/>
      <c r="G95" s="418"/>
      <c r="H95" s="418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19"/>
      <c r="O97" s="419"/>
    </row>
    <row r="98" spans="14:15" ht="15">
      <c r="N98" s="418"/>
      <c r="O98" s="418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horizontalDpi="600" verticalDpi="600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D2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26" sqref="F2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156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153</v>
      </c>
      <c r="N3" s="450" t="s">
        <v>154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150</v>
      </c>
      <c r="F4" s="456" t="s">
        <v>34</v>
      </c>
      <c r="G4" s="426" t="s">
        <v>151</v>
      </c>
      <c r="H4" s="435" t="s">
        <v>152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157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155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30.75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2"/>
      <c r="H84" s="432"/>
      <c r="I84" s="432"/>
      <c r="J84" s="432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24"/>
      <c r="O85" s="424"/>
    </row>
    <row r="86" spans="3:15" ht="15">
      <c r="C86" s="87">
        <v>42488</v>
      </c>
      <c r="D86" s="31">
        <v>11419.7</v>
      </c>
      <c r="F86" s="124" t="s">
        <v>59</v>
      </c>
      <c r="G86" s="418"/>
      <c r="H86" s="418"/>
      <c r="I86" s="131"/>
      <c r="J86" s="421"/>
      <c r="K86" s="421"/>
      <c r="L86" s="421"/>
      <c r="M86" s="421"/>
      <c r="N86" s="424"/>
      <c r="O86" s="424"/>
    </row>
    <row r="87" spans="3:15" ht="15.75" customHeight="1">
      <c r="C87" s="87">
        <v>42487</v>
      </c>
      <c r="D87" s="31">
        <v>7800.7</v>
      </c>
      <c r="F87" s="73"/>
      <c r="G87" s="418"/>
      <c r="H87" s="418"/>
      <c r="I87" s="131"/>
      <c r="J87" s="425"/>
      <c r="K87" s="425"/>
      <c r="L87" s="425"/>
      <c r="M87" s="425"/>
      <c r="N87" s="424"/>
      <c r="O87" s="424"/>
    </row>
    <row r="88" spans="3:13" ht="15.75" customHeight="1">
      <c r="C88" s="87"/>
      <c r="F88" s="73"/>
      <c r="G88" s="420"/>
      <c r="H88" s="420"/>
      <c r="I88" s="139"/>
      <c r="J88" s="421"/>
      <c r="K88" s="421"/>
      <c r="L88" s="421"/>
      <c r="M88" s="421"/>
    </row>
    <row r="89" spans="2:13" ht="18.75" customHeight="1">
      <c r="B89" s="422" t="s">
        <v>57</v>
      </c>
      <c r="C89" s="423"/>
      <c r="D89" s="148">
        <v>9087.9705</v>
      </c>
      <c r="E89" s="74"/>
      <c r="F89" s="140" t="s">
        <v>137</v>
      </c>
      <c r="G89" s="418"/>
      <c r="H89" s="418"/>
      <c r="I89" s="141"/>
      <c r="J89" s="421"/>
      <c r="K89" s="421"/>
      <c r="L89" s="421"/>
      <c r="M89" s="421"/>
    </row>
    <row r="90" spans="6:12" ht="9.75" customHeight="1">
      <c r="F90" s="73"/>
      <c r="G90" s="418"/>
      <c r="H90" s="418"/>
      <c r="I90" s="73"/>
      <c r="J90" s="74"/>
      <c r="K90" s="74"/>
      <c r="L90" s="74"/>
    </row>
    <row r="91" spans="2:12" ht="22.5" customHeight="1" hidden="1">
      <c r="B91" s="416" t="s">
        <v>60</v>
      </c>
      <c r="C91" s="417"/>
      <c r="D91" s="86">
        <v>0</v>
      </c>
      <c r="E91" s="56" t="s">
        <v>24</v>
      </c>
      <c r="F91" s="73"/>
      <c r="G91" s="418"/>
      <c r="H91" s="418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18"/>
      <c r="O92" s="418"/>
    </row>
    <row r="93" spans="4:15" ht="15">
      <c r="D93" s="83"/>
      <c r="I93" s="31"/>
      <c r="N93" s="419"/>
      <c r="O93" s="419"/>
    </row>
    <row r="94" spans="14:15" ht="15">
      <c r="N94" s="418"/>
      <c r="O94" s="418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53" sqref="F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39" t="s">
        <v>148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92"/>
      <c r="R1" s="93"/>
    </row>
    <row r="2" spans="2:18" s="1" customFormat="1" ht="15.75" customHeight="1">
      <c r="B2" s="458"/>
      <c r="C2" s="458"/>
      <c r="D2" s="458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41"/>
      <c r="B3" s="443"/>
      <c r="C3" s="444" t="s">
        <v>0</v>
      </c>
      <c r="D3" s="445" t="s">
        <v>121</v>
      </c>
      <c r="E3" s="34"/>
      <c r="F3" s="446" t="s">
        <v>26</v>
      </c>
      <c r="G3" s="447"/>
      <c r="H3" s="447"/>
      <c r="I3" s="447"/>
      <c r="J3" s="448"/>
      <c r="K3" s="89"/>
      <c r="L3" s="89"/>
      <c r="M3" s="449" t="s">
        <v>147</v>
      </c>
      <c r="N3" s="450" t="s">
        <v>143</v>
      </c>
      <c r="O3" s="450"/>
      <c r="P3" s="450"/>
      <c r="Q3" s="450"/>
      <c r="R3" s="450"/>
    </row>
    <row r="4" spans="1:18" ht="22.5" customHeight="1">
      <c r="A4" s="441"/>
      <c r="B4" s="443"/>
      <c r="C4" s="444"/>
      <c r="D4" s="445"/>
      <c r="E4" s="451" t="s">
        <v>146</v>
      </c>
      <c r="F4" s="456" t="s">
        <v>34</v>
      </c>
      <c r="G4" s="426" t="s">
        <v>141</v>
      </c>
      <c r="H4" s="435" t="s">
        <v>142</v>
      </c>
      <c r="I4" s="426" t="s">
        <v>122</v>
      </c>
      <c r="J4" s="435" t="s">
        <v>123</v>
      </c>
      <c r="K4" s="91" t="s">
        <v>65</v>
      </c>
      <c r="L4" s="96" t="s">
        <v>64</v>
      </c>
      <c r="M4" s="435"/>
      <c r="N4" s="437" t="s">
        <v>149</v>
      </c>
      <c r="O4" s="426" t="s">
        <v>50</v>
      </c>
      <c r="P4" s="428" t="s">
        <v>49</v>
      </c>
      <c r="Q4" s="97" t="s">
        <v>65</v>
      </c>
      <c r="R4" s="98" t="s">
        <v>64</v>
      </c>
    </row>
    <row r="5" spans="1:18" ht="78.75" customHeight="1">
      <c r="A5" s="442"/>
      <c r="B5" s="443"/>
      <c r="C5" s="444"/>
      <c r="D5" s="445"/>
      <c r="E5" s="452"/>
      <c r="F5" s="457"/>
      <c r="G5" s="427"/>
      <c r="H5" s="436"/>
      <c r="I5" s="427"/>
      <c r="J5" s="436"/>
      <c r="K5" s="429" t="s">
        <v>144</v>
      </c>
      <c r="L5" s="431"/>
      <c r="M5" s="436"/>
      <c r="N5" s="438"/>
      <c r="O5" s="427"/>
      <c r="P5" s="428"/>
      <c r="Q5" s="429" t="s">
        <v>120</v>
      </c>
      <c r="R5" s="431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2"/>
      <c r="H83" s="432"/>
      <c r="I83" s="432"/>
      <c r="J83" s="432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24"/>
      <c r="O84" s="424"/>
    </row>
    <row r="85" spans="3:15" ht="15">
      <c r="C85" s="87">
        <v>42459</v>
      </c>
      <c r="D85" s="31">
        <v>7576.3</v>
      </c>
      <c r="F85" s="124" t="s">
        <v>59</v>
      </c>
      <c r="G85" s="418"/>
      <c r="H85" s="418"/>
      <c r="I85" s="131"/>
      <c r="J85" s="421"/>
      <c r="K85" s="421"/>
      <c r="L85" s="421"/>
      <c r="M85" s="421"/>
      <c r="N85" s="424"/>
      <c r="O85" s="424"/>
    </row>
    <row r="86" spans="3:15" ht="15.75" customHeight="1">
      <c r="C86" s="87">
        <v>42458</v>
      </c>
      <c r="D86" s="31">
        <v>9190.1</v>
      </c>
      <c r="F86" s="73"/>
      <c r="G86" s="418"/>
      <c r="H86" s="418"/>
      <c r="I86" s="131"/>
      <c r="J86" s="425"/>
      <c r="K86" s="425"/>
      <c r="L86" s="425"/>
      <c r="M86" s="425"/>
      <c r="N86" s="424"/>
      <c r="O86" s="424"/>
    </row>
    <row r="87" spans="3:13" ht="15.75" customHeight="1">
      <c r="C87" s="87"/>
      <c r="F87" s="73"/>
      <c r="G87" s="420"/>
      <c r="H87" s="420"/>
      <c r="I87" s="139"/>
      <c r="J87" s="421"/>
      <c r="K87" s="421"/>
      <c r="L87" s="421"/>
      <c r="M87" s="421"/>
    </row>
    <row r="88" spans="2:13" ht="18.75" customHeight="1">
      <c r="B88" s="422" t="s">
        <v>57</v>
      </c>
      <c r="C88" s="423"/>
      <c r="D88" s="148">
        <f>4343.7</f>
        <v>4343.7</v>
      </c>
      <c r="E88" s="74"/>
      <c r="F88" s="140" t="s">
        <v>137</v>
      </c>
      <c r="G88" s="418"/>
      <c r="H88" s="418"/>
      <c r="I88" s="141"/>
      <c r="J88" s="421"/>
      <c r="K88" s="421"/>
      <c r="L88" s="421"/>
      <c r="M88" s="421"/>
    </row>
    <row r="89" spans="6:12" ht="9.75" customHeight="1">
      <c r="F89" s="73"/>
      <c r="G89" s="418"/>
      <c r="H89" s="418"/>
      <c r="I89" s="73"/>
      <c r="J89" s="74"/>
      <c r="K89" s="74"/>
      <c r="L89" s="74"/>
    </row>
    <row r="90" spans="2:12" ht="22.5" customHeight="1" hidden="1">
      <c r="B90" s="416" t="s">
        <v>60</v>
      </c>
      <c r="C90" s="417"/>
      <c r="D90" s="86">
        <v>0</v>
      </c>
      <c r="E90" s="56" t="s">
        <v>24</v>
      </c>
      <c r="F90" s="73"/>
      <c r="G90" s="418"/>
      <c r="H90" s="418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18"/>
      <c r="O91" s="418"/>
    </row>
    <row r="92" spans="4:15" ht="15">
      <c r="D92" s="83"/>
      <c r="I92" s="31"/>
      <c r="N92" s="419"/>
      <c r="O92" s="419"/>
    </row>
    <row r="93" spans="14:15" ht="15">
      <c r="N93" s="418"/>
      <c r="O93" s="418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2016-11-29T08:00:38Z</cp:lastPrinted>
  <dcterms:created xsi:type="dcterms:W3CDTF">2003-07-28T11:27:56Z</dcterms:created>
  <dcterms:modified xsi:type="dcterms:W3CDTF">2016-11-30T14:35:13Z</dcterms:modified>
  <cp:category/>
  <cp:version/>
  <cp:contentType/>
  <cp:contentStatus/>
</cp:coreProperties>
</file>